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\26-035 SUMINISTRO DE GAS NATURAL\3 Pliego y calendario\"/>
    </mc:Choice>
  </mc:AlternateContent>
  <xr:revisionPtr revIDLastSave="0" documentId="13_ncr:1_{B14A3CF4-B9BD-426F-A25A-0B300E235B8D}" xr6:coauthVersionLast="47" xr6:coauthVersionMax="47" xr10:uidLastSave="{00000000-0000-0000-0000-000000000000}"/>
  <bookViews>
    <workbookView xWindow="-108" yWindow="-108" windowWidth="41496" windowHeight="16776" activeTab="1" xr2:uid="{52FA5853-3CD8-407A-8FE1-F02A3C87EF0A}"/>
  </bookViews>
  <sheets>
    <sheet name="datos mercado 28ene26" sheetId="2" r:id="rId1"/>
    <sheet name="ANexo IX B TTF" sheetId="8" r:id="rId2"/>
  </sheets>
  <definedNames>
    <definedName name="_xlnm.Print_Area" localSheetId="1">'ANexo IX B TTF'!$A$1:$N$67</definedName>
    <definedName name="_xlnm.Print_Area" localSheetId="0">'datos mercado 28ene26'!$A$1:$O$46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3" i="8" l="1"/>
  <c r="I44" i="8"/>
  <c r="I45" i="8"/>
  <c r="I46" i="8"/>
  <c r="I47" i="8"/>
  <c r="I48" i="8"/>
  <c r="I49" i="8"/>
  <c r="I50" i="8"/>
  <c r="I51" i="8"/>
  <c r="I52" i="8"/>
  <c r="I53" i="8"/>
  <c r="I54" i="8"/>
  <c r="H60" i="8" l="1"/>
  <c r="J60" i="8"/>
  <c r="L60" i="8"/>
  <c r="D34" i="8" l="1"/>
  <c r="E34" i="8" s="1"/>
  <c r="F34" i="8"/>
  <c r="F60" i="8" s="1"/>
  <c r="G60" i="8" s="1"/>
  <c r="K60" i="8"/>
  <c r="I60" i="8"/>
  <c r="I34" i="8"/>
  <c r="K34" i="8"/>
  <c r="G34" i="8" l="1"/>
  <c r="M60" i="8"/>
  <c r="M34" i="8"/>
  <c r="K13" i="8"/>
  <c r="M13" i="8" l="1"/>
  <c r="I25" i="8"/>
  <c r="E14" i="8"/>
  <c r="D30" i="8"/>
  <c r="M44" i="8"/>
  <c r="M45" i="8"/>
  <c r="M46" i="8"/>
  <c r="M47" i="8"/>
  <c r="M48" i="8"/>
  <c r="M49" i="8"/>
  <c r="M50" i="8"/>
  <c r="M51" i="8"/>
  <c r="M52" i="8"/>
  <c r="M53" i="8"/>
  <c r="M54" i="8"/>
  <c r="M43" i="8"/>
  <c r="K44" i="8"/>
  <c r="K45" i="8"/>
  <c r="K46" i="8"/>
  <c r="K47" i="8"/>
  <c r="K48" i="8"/>
  <c r="K49" i="8"/>
  <c r="K50" i="8"/>
  <c r="K51" i="8"/>
  <c r="K52" i="8"/>
  <c r="K53" i="8"/>
  <c r="K54" i="8"/>
  <c r="K43" i="8"/>
  <c r="G44" i="8"/>
  <c r="G45" i="8"/>
  <c r="G46" i="8"/>
  <c r="G47" i="8"/>
  <c r="G48" i="8"/>
  <c r="G49" i="8"/>
  <c r="G50" i="8"/>
  <c r="G51" i="8"/>
  <c r="G52" i="8"/>
  <c r="G53" i="8"/>
  <c r="G54" i="8"/>
  <c r="G43" i="8"/>
  <c r="E44" i="8"/>
  <c r="E45" i="8"/>
  <c r="E46" i="8"/>
  <c r="E47" i="8"/>
  <c r="E48" i="8"/>
  <c r="E49" i="8"/>
  <c r="E50" i="8"/>
  <c r="E51" i="8"/>
  <c r="E52" i="8"/>
  <c r="E53" i="8"/>
  <c r="E54" i="8"/>
  <c r="E43" i="8"/>
  <c r="M18" i="8"/>
  <c r="M19" i="8"/>
  <c r="M20" i="8"/>
  <c r="M21" i="8"/>
  <c r="M22" i="8"/>
  <c r="M23" i="8"/>
  <c r="M24" i="8"/>
  <c r="M25" i="8"/>
  <c r="M26" i="8"/>
  <c r="M27" i="8"/>
  <c r="M28" i="8"/>
  <c r="M17" i="8"/>
  <c r="K18" i="8"/>
  <c r="K19" i="8"/>
  <c r="K20" i="8"/>
  <c r="K21" i="8"/>
  <c r="K22" i="8"/>
  <c r="K23" i="8"/>
  <c r="K24" i="8"/>
  <c r="K25" i="8"/>
  <c r="K26" i="8"/>
  <c r="K27" i="8"/>
  <c r="K28" i="8"/>
  <c r="K17" i="8"/>
  <c r="I18" i="8"/>
  <c r="I19" i="8"/>
  <c r="I20" i="8"/>
  <c r="I21" i="8"/>
  <c r="I22" i="8"/>
  <c r="I23" i="8"/>
  <c r="I24" i="8"/>
  <c r="I26" i="8"/>
  <c r="I27" i="8"/>
  <c r="I28" i="8"/>
  <c r="I17" i="8"/>
  <c r="G18" i="8"/>
  <c r="G19" i="8"/>
  <c r="G20" i="8"/>
  <c r="G21" i="8"/>
  <c r="G22" i="8"/>
  <c r="G23" i="8"/>
  <c r="G24" i="8"/>
  <c r="G25" i="8"/>
  <c r="G26" i="8"/>
  <c r="G27" i="8"/>
  <c r="G28" i="8"/>
  <c r="G17" i="8"/>
  <c r="E18" i="8"/>
  <c r="E19" i="8"/>
  <c r="E20" i="8"/>
  <c r="E21" i="8"/>
  <c r="E22" i="8"/>
  <c r="E23" i="8"/>
  <c r="E24" i="8"/>
  <c r="E25" i="8"/>
  <c r="E26" i="8"/>
  <c r="E27" i="8"/>
  <c r="E28" i="8"/>
  <c r="E17" i="8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21" i="2"/>
  <c r="L22" i="2"/>
  <c r="M22" i="2"/>
  <c r="L23" i="2"/>
  <c r="L24" i="2"/>
  <c r="L25" i="2"/>
  <c r="L26" i="2"/>
  <c r="L27" i="2"/>
  <c r="L28" i="2"/>
  <c r="L29" i="2"/>
  <c r="L30" i="2"/>
  <c r="L31" i="2"/>
  <c r="M31" i="2" s="1"/>
  <c r="L32" i="2"/>
  <c r="M32" i="2" s="1"/>
  <c r="L33" i="2"/>
  <c r="M33" i="2" s="1"/>
  <c r="L34" i="2"/>
  <c r="M34" i="2" s="1"/>
  <c r="L35" i="2"/>
  <c r="M35" i="2" s="1"/>
  <c r="L36" i="2"/>
  <c r="M36" i="2" s="1"/>
  <c r="L37" i="2"/>
  <c r="M37" i="2" s="1"/>
  <c r="L38" i="2"/>
  <c r="M38" i="2" s="1"/>
  <c r="L39" i="2"/>
  <c r="L40" i="2"/>
  <c r="L41" i="2"/>
  <c r="L42" i="2"/>
  <c r="L43" i="2"/>
  <c r="L44" i="2"/>
  <c r="M21" i="2"/>
  <c r="M23" i="2"/>
  <c r="M24" i="2"/>
  <c r="M25" i="2"/>
  <c r="M26" i="2"/>
  <c r="M27" i="2"/>
  <c r="M28" i="2"/>
  <c r="M29" i="2"/>
  <c r="M30" i="2"/>
  <c r="M39" i="2"/>
  <c r="M40" i="2"/>
  <c r="M41" i="2"/>
  <c r="M42" i="2"/>
  <c r="M43" i="2"/>
  <c r="M44" i="2"/>
  <c r="L21" i="2"/>
  <c r="E30" i="8" l="1"/>
  <c r="E32" i="8"/>
  <c r="M39" i="8"/>
  <c r="K39" i="8"/>
  <c r="I39" i="8"/>
  <c r="G39" i="8"/>
  <c r="E40" i="8"/>
  <c r="I13" i="8"/>
  <c r="G13" i="8"/>
  <c r="F56" i="8" l="1"/>
  <c r="G58" i="8" s="1"/>
  <c r="H30" i="8"/>
  <c r="I32" i="8" s="1"/>
  <c r="J56" i="8"/>
  <c r="K58" i="8" s="1"/>
  <c r="L56" i="8"/>
  <c r="M58" i="8" s="1"/>
  <c r="M56" i="8"/>
  <c r="M62" i="8" s="1"/>
  <c r="H56" i="8"/>
  <c r="I58" i="8" s="1"/>
  <c r="J30" i="8"/>
  <c r="K32" i="8" s="1"/>
  <c r="L30" i="8"/>
  <c r="F30" i="8"/>
  <c r="D56" i="8"/>
  <c r="I30" i="8"/>
  <c r="I36" i="8" s="1"/>
  <c r="M30" i="8"/>
  <c r="G56" i="8"/>
  <c r="G62" i="8" s="1"/>
  <c r="K56" i="8"/>
  <c r="K30" i="8"/>
  <c r="I56" i="8"/>
  <c r="I62" i="8" s="1"/>
  <c r="G30" i="8"/>
  <c r="E56" i="8"/>
  <c r="K36" i="8" l="1"/>
  <c r="M32" i="8"/>
  <c r="M36" i="8" s="1"/>
  <c r="M64" i="8" s="1"/>
  <c r="K62" i="8"/>
  <c r="E58" i="8"/>
  <c r="G32" i="8"/>
  <c r="G36" i="8" s="1"/>
  <c r="K64" i="8" l="1"/>
  <c r="G64" i="8"/>
  <c r="I64" i="8"/>
  <c r="E36" i="8" l="1"/>
  <c r="N36" i="8" s="1"/>
  <c r="D60" i="8"/>
  <c r="E60" i="8" s="1"/>
  <c r="E62" i="8" l="1"/>
  <c r="N62" i="8" s="1"/>
  <c r="N64" i="8" l="1"/>
  <c r="E64" i="8"/>
</calcChain>
</file>

<file path=xl/sharedStrings.xml><?xml version="1.0" encoding="utf-8"?>
<sst xmlns="http://schemas.openxmlformats.org/spreadsheetml/2006/main" count="88" uniqueCount="48">
  <si>
    <t>ES0217901000013660KR</t>
  </si>
  <si>
    <t>ES0230901000024204EL</t>
  </si>
  <si>
    <t>cups</t>
  </si>
  <si>
    <t xml:space="preserve">MIBGAS </t>
  </si>
  <si>
    <t>BRENT</t>
  </si>
  <si>
    <t>BRENT 603</t>
  </si>
  <si>
    <t>USD101</t>
  </si>
  <si>
    <t>USD 303</t>
  </si>
  <si>
    <t>TTF</t>
  </si>
  <si>
    <t>ES0217901000009332QC</t>
  </si>
  <si>
    <t>ES0237902000029474HH</t>
  </si>
  <si>
    <t>ES0237902000029476HC</t>
  </si>
  <si>
    <t>RL4</t>
  </si>
  <si>
    <t>Tarifa</t>
  </si>
  <si>
    <t>Impuesto de Hidrocarburos</t>
  </si>
  <si>
    <t>Euros</t>
  </si>
  <si>
    <t>Bruto total</t>
  </si>
  <si>
    <t>Precio fijo de energía (€/kWh)</t>
  </si>
  <si>
    <t>Término fijo € mes</t>
  </si>
  <si>
    <t>Término fijo € año</t>
  </si>
  <si>
    <t>Término energía € año</t>
  </si>
  <si>
    <t>Fórmula TTF. En la constante K se deben incluir todos los costes variables aplicables en función del consumo, atr, fnee, etc…</t>
  </si>
  <si>
    <t>PRIMER AÑO DE CONTRATO</t>
  </si>
  <si>
    <t>SEGUNDO AÑO DE CONTRATO</t>
  </si>
  <si>
    <t>FECHA</t>
  </si>
  <si>
    <t>Fecha</t>
  </si>
  <si>
    <t>DEBERÁ INDICAR LA CONSTANTE K PARA CADA CUPS</t>
  </si>
  <si>
    <t>Total OFERTADO 2 años (*)</t>
  </si>
  <si>
    <t>Firma del respresentante legal</t>
  </si>
  <si>
    <t>K</t>
  </si>
  <si>
    <t>A</t>
  </si>
  <si>
    <t>RL2</t>
  </si>
  <si>
    <t>RLTB7</t>
  </si>
  <si>
    <t>RL5</t>
  </si>
  <si>
    <t>Consumo kWh</t>
  </si>
  <si>
    <t>Qd kWh</t>
  </si>
  <si>
    <t>Martes, 28 de enero de 2026 10:00</t>
  </si>
  <si>
    <t>RL6</t>
  </si>
  <si>
    <t>mibgas con Api</t>
  </si>
  <si>
    <t>api spread mibgas vs ttf</t>
  </si>
  <si>
    <t>api spread ttf vs mibgas</t>
  </si>
  <si>
    <t>ttf con Api</t>
  </si>
  <si>
    <r>
      <t xml:space="preserve">Alquiler equipos medida </t>
    </r>
    <r>
      <rPr>
        <b/>
        <sz val="11"/>
        <color theme="1"/>
        <rFont val="Calibri"/>
        <family val="2"/>
        <scheme val="minor"/>
      </rPr>
      <t>no licitable</t>
    </r>
  </si>
  <si>
    <t xml:space="preserve">*(TTF DA x A) + K </t>
  </si>
  <si>
    <t>ANEXO IX B TTF - DETALLE DE OFERTA A CUMPLIMENTAR POR LOS LICITADORES</t>
  </si>
  <si>
    <t>DEBERÁ INDICAR LA CONSTANTE A PARA CADA CUPS</t>
  </si>
  <si>
    <t>(*) Esta cantidad total será la que debe expresar en el Anexo  IX A</t>
  </si>
  <si>
    <t>ANEXO IX B DATOS DE MERCADO (NO MODIFICABLE)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</si>
</sst>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.00_ ;\-#,##0.00\ "/>
    <numFmt numFmtId="165" formatCode="#,##0_ ;\-#,##0\ "/>
    <numFmt numFmtId="166" formatCode="0.0000"/>
    <numFmt numFmtId="167" formatCode="_-* #,##0.000000000\ &quot;€&quot;_-;\-* #,##0.000000000\ &quot;€&quot;_-;_-* &quot;-&quot;?????????\ &quot;€&quot;_-;_-@_-"/>
    <numFmt numFmtId="168" formatCode="_-* #,##0.000000\ &quot;€&quot;_-;\-* #,##0.000000\ &quot;€&quot;_-;_-* &quot;-&quot;????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6"/>
      <color rgb="FF242424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44" fontId="0" fillId="0" borderId="0" xfId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4" fontId="0" fillId="0" borderId="7" xfId="1" applyFont="1" applyBorder="1" applyAlignment="1">
      <alignment horizontal="center"/>
    </xf>
    <xf numFmtId="44" fontId="0" fillId="0" borderId="8" xfId="1" applyFont="1" applyBorder="1" applyAlignment="1">
      <alignment horizontal="center"/>
    </xf>
    <xf numFmtId="0" fontId="0" fillId="0" borderId="9" xfId="0" applyBorder="1" applyAlignment="1">
      <alignment horizontal="center"/>
    </xf>
    <xf numFmtId="44" fontId="0" fillId="3" borderId="0" xfId="0" applyNumberFormat="1" applyFill="1" applyAlignment="1">
      <alignment horizontal="center"/>
    </xf>
    <xf numFmtId="44" fontId="0" fillId="0" borderId="0" xfId="0" applyNumberFormat="1" applyAlignment="1">
      <alignment horizontal="center"/>
    </xf>
    <xf numFmtId="44" fontId="0" fillId="3" borderId="10" xfId="0" applyNumberFormat="1" applyFill="1" applyBorder="1" applyAlignment="1">
      <alignment horizontal="center"/>
    </xf>
    <xf numFmtId="44" fontId="0" fillId="0" borderId="10" xfId="0" applyNumberFormat="1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0" fillId="3" borderId="0" xfId="1" applyFont="1" applyFill="1" applyBorder="1" applyAlignment="1">
      <alignment horizontal="center"/>
    </xf>
    <xf numFmtId="44" fontId="0" fillId="3" borderId="10" xfId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44" fontId="0" fillId="0" borderId="12" xfId="0" applyNumberFormat="1" applyBorder="1" applyAlignment="1">
      <alignment horizontal="center"/>
    </xf>
    <xf numFmtId="0" fontId="0" fillId="4" borderId="0" xfId="0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17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right"/>
    </xf>
    <xf numFmtId="0" fontId="0" fillId="7" borderId="0" xfId="0" applyFill="1"/>
    <xf numFmtId="0" fontId="6" fillId="7" borderId="0" xfId="0" applyFont="1" applyFill="1" applyAlignment="1">
      <alignment wrapText="1"/>
    </xf>
    <xf numFmtId="44" fontId="0" fillId="4" borderId="2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10" fontId="0" fillId="0" borderId="1" xfId="2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4" fontId="2" fillId="0" borderId="0" xfId="0" applyNumberFormat="1" applyFont="1" applyAlignment="1">
      <alignment horizontal="center"/>
    </xf>
    <xf numFmtId="44" fontId="0" fillId="0" borderId="10" xfId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9" borderId="0" xfId="0" applyFill="1" applyAlignment="1">
      <alignment horizontal="center"/>
    </xf>
    <xf numFmtId="166" fontId="0" fillId="9" borderId="14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44" fontId="5" fillId="4" borderId="5" xfId="0" applyNumberFormat="1" applyFont="1" applyFill="1" applyBorder="1" applyAlignment="1">
      <alignment horizontal="center"/>
    </xf>
    <xf numFmtId="44" fontId="5" fillId="4" borderId="13" xfId="0" applyNumberFormat="1" applyFont="1" applyFill="1" applyBorder="1" applyAlignment="1">
      <alignment horizontal="center"/>
    </xf>
    <xf numFmtId="167" fontId="0" fillId="0" borderId="7" xfId="1" applyNumberFormat="1" applyFont="1" applyBorder="1" applyAlignment="1">
      <alignment horizontal="center"/>
    </xf>
    <xf numFmtId="168" fontId="0" fillId="0" borderId="7" xfId="1" applyNumberFormat="1" applyFont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166" fontId="0" fillId="5" borderId="1" xfId="0" applyNumberFormat="1" applyFill="1" applyBorder="1" applyAlignment="1" applyProtection="1">
      <alignment horizontal="center" vertical="center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41D2E-FAE5-48D6-8029-85726C3B7EA4}">
  <sheetPr>
    <pageSetUpPr fitToPage="1"/>
  </sheetPr>
  <dimension ref="C1:R135"/>
  <sheetViews>
    <sheetView showGridLines="0" zoomScale="145" zoomScaleNormal="145" workbookViewId="0">
      <selection activeCell="O46" sqref="A1:O46"/>
    </sheetView>
  </sheetViews>
  <sheetFormatPr baseColWidth="10" defaultColWidth="11.44140625" defaultRowHeight="14.4" x14ac:dyDescent="0.3"/>
  <cols>
    <col min="1" max="1" width="5.44140625" style="29" customWidth="1"/>
    <col min="2" max="2" width="6.109375" style="29" customWidth="1"/>
    <col min="3" max="3" width="7.88671875" style="32" bestFit="1" customWidth="1"/>
    <col min="4" max="4" width="9.44140625" style="32" bestFit="1" customWidth="1"/>
    <col min="5" max="5" width="7.88671875" style="32" bestFit="1" customWidth="1"/>
    <col min="6" max="6" width="11.44140625" style="32" bestFit="1" customWidth="1"/>
    <col min="7" max="7" width="8.5546875" style="32" bestFit="1" customWidth="1"/>
    <col min="8" max="8" width="9.109375" style="32" bestFit="1" customWidth="1"/>
    <col min="9" max="9" width="8.88671875" style="32" bestFit="1" customWidth="1"/>
    <col min="10" max="11" width="11.44140625" style="29"/>
    <col min="12" max="12" width="19.44140625" style="29" bestFit="1" customWidth="1"/>
    <col min="13" max="13" width="12.6640625" style="29" bestFit="1" customWidth="1"/>
    <col min="14" max="14" width="19.44140625" style="29" bestFit="1" customWidth="1"/>
    <col min="15" max="16384" width="11.44140625" style="29"/>
  </cols>
  <sheetData>
    <row r="1" spans="3:15" x14ac:dyDescent="0.3">
      <c r="C1" s="55" t="s">
        <v>47</v>
      </c>
      <c r="D1" s="55"/>
      <c r="E1" s="55"/>
      <c r="F1" s="55"/>
      <c r="G1" s="55"/>
      <c r="H1" s="55"/>
      <c r="I1" s="55"/>
    </row>
    <row r="3" spans="3:15" ht="14.4" customHeight="1" x14ac:dyDescent="0.3">
      <c r="C3" s="54" t="s">
        <v>36</v>
      </c>
      <c r="D3" s="54"/>
      <c r="E3" s="54"/>
      <c r="F3" s="54"/>
      <c r="G3" s="54"/>
      <c r="H3" s="54"/>
      <c r="I3" s="54"/>
    </row>
    <row r="5" spans="3:15" x14ac:dyDescent="0.3">
      <c r="C5" s="30"/>
      <c r="D5" s="30"/>
      <c r="E5" s="30"/>
      <c r="F5" s="30"/>
      <c r="G5" s="30"/>
      <c r="H5" s="30"/>
      <c r="I5" s="30"/>
    </row>
    <row r="6" spans="3:15" hidden="1" x14ac:dyDescent="0.3">
      <c r="C6" s="31"/>
    </row>
    <row r="7" spans="3:15" hidden="1" x14ac:dyDescent="0.3">
      <c r="C7" s="31"/>
    </row>
    <row r="8" spans="3:15" hidden="1" x14ac:dyDescent="0.3">
      <c r="C8" s="31"/>
    </row>
    <row r="9" spans="3:15" hidden="1" x14ac:dyDescent="0.3">
      <c r="C9" s="31"/>
    </row>
    <row r="10" spans="3:15" hidden="1" x14ac:dyDescent="0.3">
      <c r="C10" s="31"/>
    </row>
    <row r="11" spans="3:15" hidden="1" x14ac:dyDescent="0.3">
      <c r="C11" s="31"/>
    </row>
    <row r="12" spans="3:15" hidden="1" x14ac:dyDescent="0.3">
      <c r="C12" s="31"/>
    </row>
    <row r="13" spans="3:15" x14ac:dyDescent="0.3">
      <c r="C13" s="24" t="s">
        <v>24</v>
      </c>
      <c r="D13" s="24" t="s">
        <v>3</v>
      </c>
      <c r="E13" s="24" t="s">
        <v>4</v>
      </c>
      <c r="F13" s="24" t="s">
        <v>5</v>
      </c>
      <c r="G13" s="24" t="s">
        <v>6</v>
      </c>
      <c r="H13" s="24" t="s">
        <v>7</v>
      </c>
      <c r="I13" s="24" t="s">
        <v>8</v>
      </c>
      <c r="J13" s="33" t="s">
        <v>3</v>
      </c>
      <c r="K13" s="33" t="s">
        <v>8</v>
      </c>
      <c r="L13" s="40" t="s">
        <v>39</v>
      </c>
      <c r="M13" s="33" t="s">
        <v>38</v>
      </c>
      <c r="N13" s="33" t="s">
        <v>40</v>
      </c>
      <c r="O13" s="33" t="s">
        <v>41</v>
      </c>
    </row>
    <row r="14" spans="3:15" x14ac:dyDescent="0.3">
      <c r="C14" s="26">
        <v>46023</v>
      </c>
      <c r="D14" s="24">
        <v>35.326999999999998</v>
      </c>
      <c r="E14" s="24">
        <v>65.697000000000003</v>
      </c>
      <c r="F14" s="24">
        <v>66.382000000000005</v>
      </c>
      <c r="G14" s="24">
        <v>1.1709000000000001</v>
      </c>
      <c r="H14" s="24">
        <v>1.1665000000000001</v>
      </c>
      <c r="I14" s="24">
        <v>34.351999999999997</v>
      </c>
    </row>
    <row r="15" spans="3:15" x14ac:dyDescent="0.3">
      <c r="C15" s="26">
        <v>46054</v>
      </c>
      <c r="D15" s="24">
        <v>40.283000000000001</v>
      </c>
      <c r="E15" s="24">
        <v>64.459999999999994</v>
      </c>
      <c r="F15" s="24">
        <v>66.382000000000005</v>
      </c>
      <c r="G15" s="24">
        <v>1.173</v>
      </c>
      <c r="H15" s="24">
        <v>1.1665000000000001</v>
      </c>
      <c r="I15" s="24">
        <v>40.283000000000001</v>
      </c>
    </row>
    <row r="16" spans="3:15" x14ac:dyDescent="0.3">
      <c r="C16" s="26">
        <v>46082</v>
      </c>
      <c r="D16" s="24">
        <v>37.505000000000003</v>
      </c>
      <c r="E16" s="24">
        <v>64.02</v>
      </c>
      <c r="F16" s="24">
        <v>66.382000000000005</v>
      </c>
      <c r="G16" s="24">
        <v>1.1890000000000001</v>
      </c>
      <c r="H16" s="24">
        <v>1.1665000000000001</v>
      </c>
      <c r="I16" s="24">
        <v>38.755000000000003</v>
      </c>
    </row>
    <row r="17" spans="3:15" x14ac:dyDescent="0.3">
      <c r="C17" s="26">
        <v>46113</v>
      </c>
      <c r="D17" s="24">
        <v>32.454999999999998</v>
      </c>
      <c r="E17" s="24">
        <v>63.76</v>
      </c>
      <c r="F17" s="24">
        <v>64.209000000000003</v>
      </c>
      <c r="G17" s="24">
        <v>1.19</v>
      </c>
      <c r="H17" s="24">
        <v>1.1665000000000001</v>
      </c>
      <c r="I17" s="24">
        <v>33.454999999999998</v>
      </c>
    </row>
    <row r="18" spans="3:15" x14ac:dyDescent="0.3">
      <c r="C18" s="26">
        <v>46143</v>
      </c>
      <c r="D18" s="24">
        <v>29.539000000000001</v>
      </c>
      <c r="E18" s="24">
        <v>63.575000000000003</v>
      </c>
      <c r="F18" s="24">
        <v>64.209000000000003</v>
      </c>
      <c r="G18" s="24">
        <v>1.1919999999999999</v>
      </c>
      <c r="H18" s="24">
        <v>1.1901999999999999</v>
      </c>
      <c r="I18" s="24">
        <v>30.338999999999999</v>
      </c>
    </row>
    <row r="19" spans="3:15" x14ac:dyDescent="0.3">
      <c r="C19" s="26">
        <v>46174</v>
      </c>
      <c r="D19" s="24">
        <v>29.199000000000002</v>
      </c>
      <c r="E19" s="24">
        <v>63.424999999999997</v>
      </c>
      <c r="F19" s="24">
        <v>64.209000000000003</v>
      </c>
      <c r="G19" s="24">
        <v>1.1930000000000001</v>
      </c>
      <c r="H19" s="24">
        <v>1.1901999999999999</v>
      </c>
      <c r="I19" s="24">
        <v>29.748999999999999</v>
      </c>
    </row>
    <row r="20" spans="3:15" x14ac:dyDescent="0.3">
      <c r="C20" s="26">
        <v>46204</v>
      </c>
      <c r="D20" s="24">
        <v>29.167999999999999</v>
      </c>
      <c r="E20" s="24">
        <v>63.3</v>
      </c>
      <c r="F20" s="24">
        <v>64.156000000000006</v>
      </c>
      <c r="G20" s="24">
        <v>1.1950000000000001</v>
      </c>
      <c r="H20" s="24">
        <v>1.1901999999999999</v>
      </c>
      <c r="I20" s="24">
        <v>29.492999999999999</v>
      </c>
    </row>
    <row r="21" spans="3:15" x14ac:dyDescent="0.3">
      <c r="C21" s="26">
        <v>46235</v>
      </c>
      <c r="D21" s="24">
        <v>29.081</v>
      </c>
      <c r="E21" s="24">
        <v>63.204999999999998</v>
      </c>
      <c r="F21" s="24">
        <v>64.156000000000006</v>
      </c>
      <c r="G21" s="24">
        <v>1.1970000000000001</v>
      </c>
      <c r="H21" s="24">
        <v>1.1951000000000001</v>
      </c>
      <c r="I21" s="24">
        <v>29.405999999999999</v>
      </c>
      <c r="J21" s="39">
        <v>35</v>
      </c>
      <c r="K21" s="39">
        <v>35</v>
      </c>
      <c r="L21" s="41">
        <f>D21/I21</f>
        <v>0.98894783377542006</v>
      </c>
      <c r="M21" s="42">
        <f>J21*L21</f>
        <v>34.613174182139701</v>
      </c>
      <c r="N21" s="41">
        <f>I21/D21</f>
        <v>1.0111756817165847</v>
      </c>
      <c r="O21" s="42">
        <f>K21*N21</f>
        <v>35.391148860080463</v>
      </c>
    </row>
    <row r="22" spans="3:15" x14ac:dyDescent="0.3">
      <c r="C22" s="26">
        <v>46266</v>
      </c>
      <c r="D22" s="24">
        <v>29.347000000000001</v>
      </c>
      <c r="E22" s="24">
        <v>63.134999999999998</v>
      </c>
      <c r="F22" s="24">
        <v>64.156000000000006</v>
      </c>
      <c r="G22" s="24">
        <v>1.198</v>
      </c>
      <c r="H22" s="24">
        <v>1.1951000000000001</v>
      </c>
      <c r="I22" s="24">
        <v>29.672000000000001</v>
      </c>
      <c r="J22" s="39">
        <v>35</v>
      </c>
      <c r="K22" s="39">
        <v>35</v>
      </c>
      <c r="L22" s="41">
        <f>D22/I22</f>
        <v>0.98904691291453228</v>
      </c>
      <c r="M22" s="42">
        <f t="shared" ref="M22:M44" si="0">J22*L22</f>
        <v>34.616641952008628</v>
      </c>
      <c r="N22" s="41">
        <f t="shared" ref="N22:N44" si="1">I22/D22</f>
        <v>1.0110743857975262</v>
      </c>
      <c r="O22" s="42">
        <f t="shared" ref="O22:O44" si="2">K22*N22</f>
        <v>35.387603502913414</v>
      </c>
    </row>
    <row r="23" spans="3:15" x14ac:dyDescent="0.3">
      <c r="C23" s="26">
        <v>46296</v>
      </c>
      <c r="D23" s="24">
        <v>28.707999999999998</v>
      </c>
      <c r="E23" s="24">
        <v>63.09</v>
      </c>
      <c r="F23" s="24">
        <v>63.4</v>
      </c>
      <c r="G23" s="24">
        <v>1.2</v>
      </c>
      <c r="H23" s="24">
        <v>1.1951000000000001</v>
      </c>
      <c r="I23" s="24">
        <v>29.308</v>
      </c>
      <c r="J23" s="39">
        <v>35</v>
      </c>
      <c r="K23" s="39">
        <v>35</v>
      </c>
      <c r="L23" s="41">
        <f t="shared" ref="L23:L44" si="3">D23/I23</f>
        <v>0.97952777398662472</v>
      </c>
      <c r="M23" s="42">
        <f t="shared" si="0"/>
        <v>34.283472089531863</v>
      </c>
      <c r="N23" s="41">
        <f t="shared" si="1"/>
        <v>1.0209000975337885</v>
      </c>
      <c r="O23" s="42">
        <f t="shared" si="2"/>
        <v>35.731503413682596</v>
      </c>
    </row>
    <row r="24" spans="3:15" x14ac:dyDescent="0.3">
      <c r="C24" s="26">
        <v>46327</v>
      </c>
      <c r="D24" s="24">
        <v>28.672999999999998</v>
      </c>
      <c r="E24" s="24">
        <v>63.055</v>
      </c>
      <c r="F24" s="24">
        <v>63.4</v>
      </c>
      <c r="G24" s="24">
        <v>1.2010000000000001</v>
      </c>
      <c r="H24" s="24">
        <v>1.1997</v>
      </c>
      <c r="I24" s="24">
        <v>29.273</v>
      </c>
      <c r="J24" s="39">
        <v>35</v>
      </c>
      <c r="K24" s="39">
        <v>35</v>
      </c>
      <c r="L24" s="41">
        <f t="shared" si="3"/>
        <v>0.97950329655313761</v>
      </c>
      <c r="M24" s="42">
        <f t="shared" si="0"/>
        <v>34.282615379359818</v>
      </c>
      <c r="N24" s="41">
        <f t="shared" si="1"/>
        <v>1.0209256094583756</v>
      </c>
      <c r="O24" s="42">
        <f t="shared" si="2"/>
        <v>35.732396331043148</v>
      </c>
    </row>
    <row r="25" spans="3:15" ht="14.4" customHeight="1" x14ac:dyDescent="0.3">
      <c r="C25" s="26">
        <v>46357</v>
      </c>
      <c r="D25" s="24">
        <v>28.899000000000001</v>
      </c>
      <c r="E25" s="24">
        <v>63.045000000000002</v>
      </c>
      <c r="F25" s="24">
        <v>63.4</v>
      </c>
      <c r="G25" s="24">
        <v>1.2030000000000001</v>
      </c>
      <c r="H25" s="24">
        <v>1.1997</v>
      </c>
      <c r="I25" s="24">
        <v>29.498999999999999</v>
      </c>
      <c r="J25" s="39">
        <v>35</v>
      </c>
      <c r="K25" s="39">
        <v>35</v>
      </c>
      <c r="L25" s="41">
        <f t="shared" si="3"/>
        <v>0.97966032746872778</v>
      </c>
      <c r="M25" s="42">
        <f t="shared" si="0"/>
        <v>34.288111461405471</v>
      </c>
      <c r="N25" s="41">
        <f t="shared" si="1"/>
        <v>1.020761964081802</v>
      </c>
      <c r="O25" s="42">
        <f t="shared" si="2"/>
        <v>35.726668742863069</v>
      </c>
    </row>
    <row r="26" spans="3:15" x14ac:dyDescent="0.3">
      <c r="C26" s="26">
        <v>46388</v>
      </c>
      <c r="D26" s="24">
        <v>29.43</v>
      </c>
      <c r="E26" s="24">
        <v>63.085000000000001</v>
      </c>
      <c r="F26" s="24">
        <v>63.137999999999998</v>
      </c>
      <c r="G26" s="24">
        <v>1.204</v>
      </c>
      <c r="H26" s="24">
        <v>1.1997</v>
      </c>
      <c r="I26" s="24">
        <v>29.63</v>
      </c>
      <c r="J26" s="39">
        <v>35</v>
      </c>
      <c r="K26" s="39">
        <v>35</v>
      </c>
      <c r="L26" s="41">
        <f t="shared" si="3"/>
        <v>0.99325008437394535</v>
      </c>
      <c r="M26" s="42">
        <f t="shared" si="0"/>
        <v>34.763752953088087</v>
      </c>
      <c r="N26" s="41">
        <f t="shared" si="1"/>
        <v>1.0067957866123003</v>
      </c>
      <c r="O26" s="42">
        <f t="shared" si="2"/>
        <v>35.237852531430512</v>
      </c>
    </row>
    <row r="27" spans="3:15" x14ac:dyDescent="0.3">
      <c r="C27" s="26">
        <v>46419</v>
      </c>
      <c r="D27" s="24">
        <v>29.385000000000002</v>
      </c>
      <c r="E27" s="24">
        <v>63.155000000000001</v>
      </c>
      <c r="F27" s="24">
        <v>63.137999999999998</v>
      </c>
      <c r="G27" s="24">
        <v>1.2050000000000001</v>
      </c>
      <c r="H27" s="24">
        <v>1.1997</v>
      </c>
      <c r="I27" s="24">
        <v>29.585000000000001</v>
      </c>
      <c r="J27" s="39">
        <v>35</v>
      </c>
      <c r="K27" s="39">
        <v>35</v>
      </c>
      <c r="L27" s="41">
        <f t="shared" si="3"/>
        <v>0.99323981747507184</v>
      </c>
      <c r="M27" s="42">
        <f t="shared" si="0"/>
        <v>34.763393611627514</v>
      </c>
      <c r="N27" s="41">
        <f t="shared" si="1"/>
        <v>1.0068061936362089</v>
      </c>
      <c r="O27" s="42">
        <f t="shared" si="2"/>
        <v>35.238216777267311</v>
      </c>
    </row>
    <row r="28" spans="3:15" x14ac:dyDescent="0.3">
      <c r="C28" s="26">
        <v>46447</v>
      </c>
      <c r="D28" s="24">
        <v>28.6</v>
      </c>
      <c r="E28" s="24">
        <v>63.234999999999999</v>
      </c>
      <c r="F28" s="24">
        <v>63.137999999999998</v>
      </c>
      <c r="G28" s="24">
        <v>1.2070000000000001</v>
      </c>
      <c r="H28" s="24">
        <v>1.1997</v>
      </c>
      <c r="I28" s="24">
        <v>28.8</v>
      </c>
      <c r="J28" s="39">
        <v>35</v>
      </c>
      <c r="K28" s="39">
        <v>35</v>
      </c>
      <c r="L28" s="41">
        <f t="shared" si="3"/>
        <v>0.99305555555555558</v>
      </c>
      <c r="M28" s="42">
        <f t="shared" si="0"/>
        <v>34.756944444444443</v>
      </c>
      <c r="N28" s="41">
        <f t="shared" si="1"/>
        <v>1.0069930069930069</v>
      </c>
      <c r="O28" s="42">
        <f t="shared" si="2"/>
        <v>35.24475524475524</v>
      </c>
    </row>
    <row r="29" spans="3:15" x14ac:dyDescent="0.3">
      <c r="C29" s="26">
        <v>46478</v>
      </c>
      <c r="D29" s="24">
        <v>25.283999999999999</v>
      </c>
      <c r="E29" s="24">
        <v>63.314999999999998</v>
      </c>
      <c r="F29" s="24">
        <v>63.110999999999997</v>
      </c>
      <c r="G29" s="24">
        <v>1.208</v>
      </c>
      <c r="H29" s="24">
        <v>1.1997</v>
      </c>
      <c r="I29" s="24">
        <v>25.434000000000001</v>
      </c>
      <c r="J29" s="39">
        <v>35</v>
      </c>
      <c r="K29" s="39">
        <v>35</v>
      </c>
      <c r="L29" s="41">
        <f t="shared" si="3"/>
        <v>0.99410238263741435</v>
      </c>
      <c r="M29" s="42">
        <f t="shared" si="0"/>
        <v>34.7935833923095</v>
      </c>
      <c r="N29" s="41">
        <f t="shared" si="1"/>
        <v>1.0059326056003797</v>
      </c>
      <c r="O29" s="42">
        <f t="shared" si="2"/>
        <v>35.207641196013292</v>
      </c>
    </row>
    <row r="30" spans="3:15" x14ac:dyDescent="0.3">
      <c r="C30" s="26">
        <v>46508</v>
      </c>
      <c r="D30" s="24">
        <v>24.189</v>
      </c>
      <c r="E30" s="24">
        <v>63.375</v>
      </c>
      <c r="F30" s="24">
        <v>63.110999999999997</v>
      </c>
      <c r="G30" s="24">
        <v>1.2090000000000001</v>
      </c>
      <c r="H30" s="24">
        <v>1.1997</v>
      </c>
      <c r="I30" s="24">
        <v>24.338999999999999</v>
      </c>
      <c r="J30" s="39">
        <v>35</v>
      </c>
      <c r="K30" s="39">
        <v>35</v>
      </c>
      <c r="L30" s="41">
        <f t="shared" si="3"/>
        <v>0.99383705164550729</v>
      </c>
      <c r="M30" s="42">
        <f t="shared" si="0"/>
        <v>34.784296807592753</v>
      </c>
      <c r="N30" s="41">
        <f t="shared" si="1"/>
        <v>1.0062011658191738</v>
      </c>
      <c r="O30" s="42">
        <f t="shared" si="2"/>
        <v>35.217040803671082</v>
      </c>
    </row>
    <row r="31" spans="3:15" x14ac:dyDescent="0.3">
      <c r="C31" s="26">
        <v>46539</v>
      </c>
      <c r="D31" s="24">
        <v>24.007999999999999</v>
      </c>
      <c r="E31" s="24">
        <v>63.445</v>
      </c>
      <c r="F31" s="24">
        <v>63.110999999999997</v>
      </c>
      <c r="G31" s="24">
        <v>1.21</v>
      </c>
      <c r="H31" s="24">
        <v>1.1997</v>
      </c>
      <c r="I31" s="24">
        <v>24.158000000000001</v>
      </c>
      <c r="J31" s="39">
        <v>35</v>
      </c>
      <c r="K31" s="39">
        <v>35</v>
      </c>
      <c r="L31" s="41">
        <f t="shared" si="3"/>
        <v>0.99379087672820587</v>
      </c>
      <c r="M31" s="42">
        <f t="shared" si="0"/>
        <v>34.782680685487207</v>
      </c>
      <c r="N31" s="41">
        <f t="shared" si="1"/>
        <v>1.0062479173608798</v>
      </c>
      <c r="O31" s="42">
        <f t="shared" si="2"/>
        <v>35.218677107630796</v>
      </c>
    </row>
    <row r="32" spans="3:15" x14ac:dyDescent="0.3">
      <c r="C32" s="26">
        <v>46569</v>
      </c>
      <c r="D32" s="24">
        <v>24.02</v>
      </c>
      <c r="E32" s="24">
        <v>63.545000000000002</v>
      </c>
      <c r="F32" s="24">
        <v>63.268000000000001</v>
      </c>
      <c r="G32" s="24">
        <v>1.212</v>
      </c>
      <c r="H32" s="24">
        <v>1.1997</v>
      </c>
      <c r="I32" s="24">
        <v>24.17</v>
      </c>
      <c r="J32" s="39">
        <v>35</v>
      </c>
      <c r="K32" s="39">
        <v>35</v>
      </c>
      <c r="L32" s="41">
        <f t="shared" si="3"/>
        <v>0.99379395945386839</v>
      </c>
      <c r="M32" s="42">
        <f t="shared" si="0"/>
        <v>34.782788580885395</v>
      </c>
      <c r="N32" s="41">
        <f t="shared" si="1"/>
        <v>1.0062447960033307</v>
      </c>
      <c r="O32" s="42">
        <f t="shared" si="2"/>
        <v>35.218567860116572</v>
      </c>
    </row>
    <row r="33" spans="3:15" x14ac:dyDescent="0.3">
      <c r="C33" s="26">
        <v>46600</v>
      </c>
      <c r="D33" s="24">
        <v>24.135999999999999</v>
      </c>
      <c r="E33" s="24">
        <v>63.645000000000003</v>
      </c>
      <c r="F33" s="24">
        <v>63.268000000000001</v>
      </c>
      <c r="G33" s="24">
        <v>1.2130000000000001</v>
      </c>
      <c r="H33" s="24">
        <v>1.1997</v>
      </c>
      <c r="I33" s="24">
        <v>24.286000000000001</v>
      </c>
      <c r="J33" s="39">
        <v>32</v>
      </c>
      <c r="K33" s="39">
        <v>32</v>
      </c>
      <c r="L33" s="41">
        <f t="shared" si="3"/>
        <v>0.99382360207526965</v>
      </c>
      <c r="M33" s="42">
        <f t="shared" si="0"/>
        <v>31.802355266408629</v>
      </c>
      <c r="N33" s="41">
        <f t="shared" si="1"/>
        <v>1.0062147828969175</v>
      </c>
      <c r="O33" s="42">
        <f t="shared" si="2"/>
        <v>32.198873052701359</v>
      </c>
    </row>
    <row r="34" spans="3:15" x14ac:dyDescent="0.3">
      <c r="C34" s="26">
        <v>46631</v>
      </c>
      <c r="D34" s="24">
        <v>24.315999999999999</v>
      </c>
      <c r="E34" s="24">
        <v>63.755000000000003</v>
      </c>
      <c r="F34" s="24">
        <v>63.268000000000001</v>
      </c>
      <c r="G34" s="24">
        <v>1.214</v>
      </c>
      <c r="H34" s="24">
        <v>1.1997</v>
      </c>
      <c r="I34" s="24">
        <v>24.466000000000001</v>
      </c>
      <c r="J34" s="39">
        <v>32</v>
      </c>
      <c r="K34" s="39">
        <v>32</v>
      </c>
      <c r="L34" s="41">
        <f t="shared" si="3"/>
        <v>0.99386904275320842</v>
      </c>
      <c r="M34" s="42">
        <f t="shared" si="0"/>
        <v>31.803809368102669</v>
      </c>
      <c r="N34" s="41">
        <f t="shared" si="1"/>
        <v>1.0061687777595001</v>
      </c>
      <c r="O34" s="42">
        <f t="shared" si="2"/>
        <v>32.197400888304003</v>
      </c>
    </row>
    <row r="35" spans="3:15" x14ac:dyDescent="0.3">
      <c r="C35" s="26">
        <v>46661</v>
      </c>
      <c r="D35" s="24">
        <v>24.742999999999999</v>
      </c>
      <c r="E35" s="24">
        <v>63.854999999999997</v>
      </c>
      <c r="F35" s="24">
        <v>63.512999999999998</v>
      </c>
      <c r="G35" s="24">
        <v>1.2150000000000001</v>
      </c>
      <c r="H35" s="24">
        <v>1.1997</v>
      </c>
      <c r="I35" s="24">
        <v>24.742999999999999</v>
      </c>
      <c r="J35" s="39">
        <v>32</v>
      </c>
      <c r="K35" s="39">
        <v>32</v>
      </c>
      <c r="L35" s="41">
        <f t="shared" si="3"/>
        <v>1</v>
      </c>
      <c r="M35" s="42">
        <f t="shared" si="0"/>
        <v>32</v>
      </c>
      <c r="N35" s="41">
        <f t="shared" si="1"/>
        <v>1</v>
      </c>
      <c r="O35" s="42">
        <f t="shared" si="2"/>
        <v>32</v>
      </c>
    </row>
    <row r="36" spans="3:15" x14ac:dyDescent="0.3">
      <c r="C36" s="26">
        <v>46692</v>
      </c>
      <c r="D36" s="24">
        <v>25.268000000000001</v>
      </c>
      <c r="E36" s="24">
        <v>63.914999999999999</v>
      </c>
      <c r="F36" s="24">
        <v>63.512999999999998</v>
      </c>
      <c r="G36" s="24">
        <v>1.216</v>
      </c>
      <c r="H36" s="24">
        <v>1.1997</v>
      </c>
      <c r="I36" s="24">
        <v>25.268000000000001</v>
      </c>
      <c r="J36" s="39">
        <v>32</v>
      </c>
      <c r="K36" s="39">
        <v>32</v>
      </c>
      <c r="L36" s="41">
        <f t="shared" si="3"/>
        <v>1</v>
      </c>
      <c r="M36" s="42">
        <f t="shared" si="0"/>
        <v>32</v>
      </c>
      <c r="N36" s="41">
        <f t="shared" si="1"/>
        <v>1</v>
      </c>
      <c r="O36" s="42">
        <f t="shared" si="2"/>
        <v>32</v>
      </c>
    </row>
    <row r="37" spans="3:15" x14ac:dyDescent="0.3">
      <c r="C37" s="26">
        <v>46722</v>
      </c>
      <c r="D37" s="24">
        <v>25.759</v>
      </c>
      <c r="E37" s="24">
        <v>63.994999999999997</v>
      </c>
      <c r="F37" s="24">
        <v>63.512999999999998</v>
      </c>
      <c r="G37" s="24">
        <v>1.218</v>
      </c>
      <c r="H37" s="24">
        <v>1.1997</v>
      </c>
      <c r="I37" s="24">
        <v>25.759</v>
      </c>
      <c r="J37" s="39">
        <v>32</v>
      </c>
      <c r="K37" s="39">
        <v>32</v>
      </c>
      <c r="L37" s="41">
        <f t="shared" si="3"/>
        <v>1</v>
      </c>
      <c r="M37" s="42">
        <f t="shared" si="0"/>
        <v>32</v>
      </c>
      <c r="N37" s="41">
        <f t="shared" si="1"/>
        <v>1</v>
      </c>
      <c r="O37" s="42">
        <f t="shared" si="2"/>
        <v>32</v>
      </c>
    </row>
    <row r="38" spans="3:15" x14ac:dyDescent="0.3">
      <c r="C38" s="26">
        <v>46753</v>
      </c>
      <c r="D38" s="24">
        <v>26.059000000000001</v>
      </c>
      <c r="E38" s="24">
        <v>64.135000000000005</v>
      </c>
      <c r="F38" s="24">
        <v>63.512999999999998</v>
      </c>
      <c r="G38" s="24">
        <v>1.2190000000000001</v>
      </c>
      <c r="H38" s="24">
        <v>1.1997</v>
      </c>
      <c r="I38" s="24">
        <v>26.009</v>
      </c>
      <c r="J38" s="39">
        <v>32</v>
      </c>
      <c r="K38" s="39">
        <v>32</v>
      </c>
      <c r="L38" s="41">
        <f t="shared" si="3"/>
        <v>1.0019224114729517</v>
      </c>
      <c r="M38" s="42">
        <f t="shared" si="0"/>
        <v>32.061517167134454</v>
      </c>
      <c r="N38" s="41">
        <f t="shared" si="1"/>
        <v>0.99808127710196093</v>
      </c>
      <c r="O38" s="42">
        <f t="shared" si="2"/>
        <v>31.93860086726275</v>
      </c>
    </row>
    <row r="39" spans="3:15" x14ac:dyDescent="0.3">
      <c r="C39" s="26">
        <v>46784</v>
      </c>
      <c r="D39" s="24">
        <v>26.02</v>
      </c>
      <c r="E39" s="24">
        <v>64.275000000000006</v>
      </c>
      <c r="F39" s="24">
        <v>63.512999999999998</v>
      </c>
      <c r="G39" s="24">
        <v>1.22</v>
      </c>
      <c r="H39" s="24">
        <v>1.1997</v>
      </c>
      <c r="I39" s="24">
        <v>25.97</v>
      </c>
      <c r="J39" s="39">
        <v>32</v>
      </c>
      <c r="K39" s="39">
        <v>32</v>
      </c>
      <c r="L39" s="41">
        <f t="shared" si="3"/>
        <v>1.0019252984212552</v>
      </c>
      <c r="M39" s="42">
        <f t="shared" si="0"/>
        <v>32.061609549480167</v>
      </c>
      <c r="N39" s="41">
        <f t="shared" si="1"/>
        <v>0.99807840122982316</v>
      </c>
      <c r="O39" s="42">
        <f t="shared" si="2"/>
        <v>31.938508839354341</v>
      </c>
    </row>
    <row r="40" spans="3:15" x14ac:dyDescent="0.3">
      <c r="C40" s="26">
        <v>46813</v>
      </c>
      <c r="D40" s="24">
        <v>25.315999999999999</v>
      </c>
      <c r="E40" s="24">
        <v>64.415000000000006</v>
      </c>
      <c r="F40" s="24">
        <v>63.512999999999998</v>
      </c>
      <c r="G40" s="24">
        <v>1.2210000000000001</v>
      </c>
      <c r="H40" s="24">
        <v>1.1997</v>
      </c>
      <c r="I40" s="24">
        <v>25.265999999999998</v>
      </c>
      <c r="J40" s="39">
        <v>32</v>
      </c>
      <c r="K40" s="39">
        <v>32</v>
      </c>
      <c r="L40" s="41">
        <f t="shared" si="3"/>
        <v>1.0019789440354627</v>
      </c>
      <c r="M40" s="42">
        <f t="shared" si="0"/>
        <v>32.063326209134807</v>
      </c>
      <c r="N40" s="41">
        <f t="shared" si="1"/>
        <v>0.99802496444936006</v>
      </c>
      <c r="O40" s="42">
        <f t="shared" si="2"/>
        <v>31.936798862379522</v>
      </c>
    </row>
    <row r="41" spans="3:15" x14ac:dyDescent="0.3">
      <c r="C41" s="26">
        <v>46844</v>
      </c>
      <c r="D41" s="24">
        <v>22.721</v>
      </c>
      <c r="E41" s="24">
        <v>64.545000000000002</v>
      </c>
      <c r="F41" s="24">
        <v>63.512999999999998</v>
      </c>
      <c r="G41" s="24">
        <v>1.222</v>
      </c>
      <c r="H41" s="24">
        <v>1.1997</v>
      </c>
      <c r="I41" s="24">
        <v>22.670999999999999</v>
      </c>
      <c r="J41" s="39">
        <v>32</v>
      </c>
      <c r="K41" s="39">
        <v>32</v>
      </c>
      <c r="L41" s="41">
        <f t="shared" si="3"/>
        <v>1.0022054607207447</v>
      </c>
      <c r="M41" s="42">
        <f t="shared" si="0"/>
        <v>32.07057474306383</v>
      </c>
      <c r="N41" s="41">
        <f t="shared" si="1"/>
        <v>0.9977993926323665</v>
      </c>
      <c r="O41" s="42">
        <f t="shared" si="2"/>
        <v>31.929580564235728</v>
      </c>
    </row>
    <row r="42" spans="3:15" x14ac:dyDescent="0.3">
      <c r="C42" s="26">
        <v>46874</v>
      </c>
      <c r="D42" s="24">
        <v>21.824000000000002</v>
      </c>
      <c r="E42" s="24">
        <v>64.631</v>
      </c>
      <c r="F42" s="24">
        <v>63.512999999999998</v>
      </c>
      <c r="G42" s="24">
        <v>1.2230000000000001</v>
      </c>
      <c r="H42" s="24">
        <v>1.1997</v>
      </c>
      <c r="I42" s="24">
        <v>21.774000000000001</v>
      </c>
      <c r="J42" s="39">
        <v>32</v>
      </c>
      <c r="K42" s="39">
        <v>32</v>
      </c>
      <c r="L42" s="41">
        <f t="shared" si="3"/>
        <v>1.0022963167080003</v>
      </c>
      <c r="M42" s="42">
        <f t="shared" si="0"/>
        <v>32.073482134656011</v>
      </c>
      <c r="N42" s="41">
        <f t="shared" si="1"/>
        <v>0.9977089442815249</v>
      </c>
      <c r="O42" s="42">
        <f t="shared" si="2"/>
        <v>31.926686217008797</v>
      </c>
    </row>
    <row r="43" spans="3:15" x14ac:dyDescent="0.3">
      <c r="C43" s="26">
        <v>46905</v>
      </c>
      <c r="D43" s="24">
        <v>21.754000000000001</v>
      </c>
      <c r="E43" s="24">
        <v>64.727000000000004</v>
      </c>
      <c r="F43" s="24">
        <v>63.512999999999998</v>
      </c>
      <c r="G43" s="24">
        <v>1.2250000000000001</v>
      </c>
      <c r="H43" s="24">
        <v>1.1997</v>
      </c>
      <c r="I43" s="24">
        <v>21.704000000000001</v>
      </c>
      <c r="J43" s="39">
        <v>32</v>
      </c>
      <c r="K43" s="39">
        <v>32</v>
      </c>
      <c r="L43" s="41">
        <f t="shared" si="3"/>
        <v>1.0023037228160707</v>
      </c>
      <c r="M43" s="42">
        <f t="shared" si="0"/>
        <v>32.073719130114263</v>
      </c>
      <c r="N43" s="41">
        <f t="shared" si="1"/>
        <v>0.9977015721246667</v>
      </c>
      <c r="O43" s="42">
        <f t="shared" si="2"/>
        <v>31.926450307989334</v>
      </c>
    </row>
    <row r="44" spans="3:15" x14ac:dyDescent="0.3">
      <c r="C44" s="26">
        <v>46935</v>
      </c>
      <c r="D44" s="24">
        <v>21.619</v>
      </c>
      <c r="E44" s="24">
        <v>64.822999999999993</v>
      </c>
      <c r="F44" s="24">
        <v>63.512999999999998</v>
      </c>
      <c r="G44" s="24">
        <v>1.226</v>
      </c>
      <c r="H44" s="24">
        <v>1.1997</v>
      </c>
      <c r="I44" s="24">
        <v>21.568999999999999</v>
      </c>
      <c r="J44" s="39">
        <v>32</v>
      </c>
      <c r="K44" s="39">
        <v>32</v>
      </c>
      <c r="L44" s="41">
        <f t="shared" si="3"/>
        <v>1.0023181417775511</v>
      </c>
      <c r="M44" s="42">
        <f t="shared" si="0"/>
        <v>32.074180536881634</v>
      </c>
      <c r="N44" s="41">
        <f t="shared" si="1"/>
        <v>0.99768721957537343</v>
      </c>
      <c r="O44" s="42">
        <f t="shared" si="2"/>
        <v>31.92599102641195</v>
      </c>
    </row>
    <row r="135" spans="11:18" x14ac:dyDescent="0.3">
      <c r="K135" s="37"/>
      <c r="L135" s="37"/>
      <c r="M135" s="37"/>
      <c r="N135" s="37"/>
      <c r="O135" s="37"/>
      <c r="P135" s="37"/>
      <c r="Q135" s="37"/>
      <c r="R135" s="36"/>
    </row>
  </sheetData>
  <sheetProtection algorithmName="SHA-512" hashValue="9zTBAf8Bl1w5m64IOXYojOc6RlQbKgyzL3sEypa0TiMVUd5nltg6okmVik5uH4CRM3Q8h0BhdlLFdT6og8N/gQ==" saltValue="uVwfTZe/CGW7USgujuRjEw==" spinCount="100000" sheet="1" objects="1" scenarios="1"/>
  <mergeCells count="2">
    <mergeCell ref="C3:I3"/>
    <mergeCell ref="C1:I1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83F93-DC4A-4C50-A454-DA30B78E981A}">
  <dimension ref="A1:N67"/>
  <sheetViews>
    <sheetView tabSelected="1" zoomScale="70" zoomScaleNormal="70" zoomScaleSheetLayoutView="90" workbookViewId="0">
      <selection activeCell="M4" sqref="M4"/>
    </sheetView>
  </sheetViews>
  <sheetFormatPr baseColWidth="10" defaultColWidth="11.44140625" defaultRowHeight="14.4" x14ac:dyDescent="0.3"/>
  <cols>
    <col min="1" max="1" width="3.5546875" style="1" customWidth="1"/>
    <col min="2" max="2" width="2.44140625" style="1" bestFit="1" customWidth="1"/>
    <col min="3" max="3" width="36.33203125" style="1" customWidth="1"/>
    <col min="4" max="4" width="14.44140625" style="1" customWidth="1"/>
    <col min="5" max="5" width="23.109375" style="1" bestFit="1" customWidth="1"/>
    <col min="6" max="6" width="13.44140625" style="1" customWidth="1"/>
    <col min="7" max="7" width="22.5546875" style="1" bestFit="1" customWidth="1"/>
    <col min="8" max="8" width="13" style="1" customWidth="1"/>
    <col min="9" max="9" width="23.44140625" style="1" bestFit="1" customWidth="1"/>
    <col min="10" max="10" width="14.109375" style="1" customWidth="1"/>
    <col min="11" max="11" width="23.5546875" style="1" bestFit="1" customWidth="1"/>
    <col min="12" max="12" width="14.33203125" style="1" customWidth="1"/>
    <col min="13" max="13" width="23.44140625" style="1" bestFit="1" customWidth="1"/>
    <col min="14" max="14" width="27.5546875" style="1" customWidth="1"/>
    <col min="15" max="16384" width="11.44140625" style="1"/>
  </cols>
  <sheetData>
    <row r="1" spans="1:13" ht="34.5" customHeight="1" x14ac:dyDescent="0.3">
      <c r="B1" s="56" t="s">
        <v>44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x14ac:dyDescent="0.3">
      <c r="C2" s="47"/>
      <c r="D2" s="47"/>
      <c r="E2" s="47"/>
    </row>
    <row r="3" spans="1:13" x14ac:dyDescent="0.3">
      <c r="C3" s="57" t="s">
        <v>17</v>
      </c>
      <c r="D3" s="57"/>
      <c r="E3" s="57" t="s">
        <v>21</v>
      </c>
      <c r="F3" s="57"/>
      <c r="G3" s="57"/>
      <c r="H3" s="57"/>
      <c r="I3" s="57"/>
      <c r="J3" s="57"/>
      <c r="K3" s="57"/>
      <c r="L3" s="57"/>
      <c r="M3" s="57"/>
    </row>
    <row r="4" spans="1:13" ht="84" customHeight="1" x14ac:dyDescent="0.3">
      <c r="C4" s="25" t="s">
        <v>43</v>
      </c>
      <c r="D4" s="28" t="s">
        <v>26</v>
      </c>
      <c r="E4" s="61"/>
      <c r="G4" s="61"/>
      <c r="H4" s="4"/>
      <c r="I4" s="61"/>
      <c r="J4" s="4"/>
      <c r="K4" s="61"/>
      <c r="L4" s="48"/>
      <c r="M4" s="61"/>
    </row>
    <row r="5" spans="1:13" x14ac:dyDescent="0.3">
      <c r="E5" s="1" t="s">
        <v>29</v>
      </c>
      <c r="G5" s="1" t="s">
        <v>29</v>
      </c>
      <c r="H5" s="4"/>
      <c r="I5" s="1" t="s">
        <v>29</v>
      </c>
      <c r="J5" s="4"/>
      <c r="K5" s="1" t="s">
        <v>29</v>
      </c>
      <c r="M5" s="1" t="s">
        <v>29</v>
      </c>
    </row>
    <row r="6" spans="1:13" ht="72" x14ac:dyDescent="0.3">
      <c r="D6" s="28" t="s">
        <v>45</v>
      </c>
      <c r="E6" s="61"/>
      <c r="F6" s="25"/>
      <c r="G6" s="61"/>
      <c r="H6" s="25"/>
      <c r="I6" s="61"/>
      <c r="J6" s="25"/>
      <c r="K6" s="61"/>
      <c r="L6" s="48"/>
      <c r="M6" s="61"/>
    </row>
    <row r="7" spans="1:13" x14ac:dyDescent="0.3">
      <c r="E7" s="34" t="s">
        <v>30</v>
      </c>
      <c r="G7" s="34" t="s">
        <v>30</v>
      </c>
      <c r="I7" s="34" t="s">
        <v>30</v>
      </c>
      <c r="K7" s="34" t="s">
        <v>30</v>
      </c>
      <c r="M7" s="34" t="s">
        <v>30</v>
      </c>
    </row>
    <row r="8" spans="1:13" x14ac:dyDescent="0.3">
      <c r="E8" s="34"/>
      <c r="G8" s="34"/>
      <c r="I8" s="34"/>
      <c r="K8" s="34"/>
      <c r="M8" s="34"/>
    </row>
    <row r="9" spans="1:13" x14ac:dyDescent="0.3">
      <c r="E9" s="1" t="s">
        <v>2</v>
      </c>
      <c r="G9" s="1" t="s">
        <v>2</v>
      </c>
      <c r="I9" s="1" t="s">
        <v>2</v>
      </c>
      <c r="K9" s="1" t="s">
        <v>2</v>
      </c>
      <c r="M9" s="1" t="s">
        <v>2</v>
      </c>
    </row>
    <row r="10" spans="1:13" x14ac:dyDescent="0.3">
      <c r="E10" s="1" t="s">
        <v>0</v>
      </c>
      <c r="G10" s="1" t="s">
        <v>1</v>
      </c>
      <c r="I10" s="1" t="s">
        <v>9</v>
      </c>
      <c r="K10" s="1" t="s">
        <v>10</v>
      </c>
      <c r="M10" s="1" t="s">
        <v>11</v>
      </c>
    </row>
    <row r="11" spans="1:13" x14ac:dyDescent="0.3">
      <c r="C11" s="1" t="s">
        <v>13</v>
      </c>
      <c r="E11" s="1" t="s">
        <v>32</v>
      </c>
      <c r="G11" s="1" t="s">
        <v>37</v>
      </c>
      <c r="I11" s="1" t="s">
        <v>33</v>
      </c>
      <c r="K11" s="1" t="s">
        <v>12</v>
      </c>
      <c r="M11" s="1" t="s">
        <v>31</v>
      </c>
    </row>
    <row r="12" spans="1:13" ht="15" thickBot="1" x14ac:dyDescent="0.35">
      <c r="E12" s="3"/>
      <c r="F12" s="3"/>
    </row>
    <row r="13" spans="1:13" x14ac:dyDescent="0.3">
      <c r="A13" s="58" t="s">
        <v>22</v>
      </c>
      <c r="B13" s="5"/>
      <c r="C13" s="6" t="s">
        <v>18</v>
      </c>
      <c r="D13" s="6"/>
      <c r="E13" s="52">
        <v>0.91102902600000013</v>
      </c>
      <c r="F13" s="7"/>
      <c r="G13" s="53">
        <f>G14/12</f>
        <v>1120.1341666666667</v>
      </c>
      <c r="H13" s="7"/>
      <c r="I13" s="53">
        <f>I14/12</f>
        <v>232.51833333333332</v>
      </c>
      <c r="J13" s="7"/>
      <c r="K13" s="53">
        <f>K14/12</f>
        <v>41.249166666666667</v>
      </c>
      <c r="L13" s="7"/>
      <c r="M13" s="53">
        <f>M14/12</f>
        <v>5.9091666666666667</v>
      </c>
    </row>
    <row r="14" spans="1:13" x14ac:dyDescent="0.3">
      <c r="A14" s="59"/>
      <c r="B14" s="9">
        <v>1</v>
      </c>
      <c r="C14" s="1" t="s">
        <v>19</v>
      </c>
      <c r="E14" s="10">
        <f>E15*E13</f>
        <v>136654.35390000002</v>
      </c>
      <c r="F14" s="11"/>
      <c r="G14" s="10">
        <v>13441.61</v>
      </c>
      <c r="H14" s="11"/>
      <c r="I14" s="10">
        <v>2790.22</v>
      </c>
      <c r="J14" s="11"/>
      <c r="K14" s="10">
        <v>494.99</v>
      </c>
      <c r="L14" s="11"/>
      <c r="M14" s="12">
        <v>70.91</v>
      </c>
    </row>
    <row r="15" spans="1:13" x14ac:dyDescent="0.3">
      <c r="A15" s="59"/>
      <c r="B15" s="9"/>
      <c r="C15" s="1" t="s">
        <v>35</v>
      </c>
      <c r="E15" s="35">
        <v>150000</v>
      </c>
      <c r="F15" s="11"/>
      <c r="G15" s="11"/>
      <c r="H15" s="11"/>
      <c r="I15" s="11"/>
      <c r="J15" s="11"/>
      <c r="K15" s="11"/>
      <c r="L15" s="11"/>
      <c r="M15" s="13"/>
    </row>
    <row r="16" spans="1:13" x14ac:dyDescent="0.3">
      <c r="A16" s="59"/>
      <c r="B16" s="9"/>
      <c r="C16" s="22" t="s">
        <v>25</v>
      </c>
      <c r="D16" s="1" t="s">
        <v>34</v>
      </c>
      <c r="E16" s="11" t="s">
        <v>15</v>
      </c>
      <c r="F16" s="1" t="s">
        <v>34</v>
      </c>
      <c r="G16" s="11" t="s">
        <v>15</v>
      </c>
      <c r="H16" s="1" t="s">
        <v>34</v>
      </c>
      <c r="I16" s="11" t="s">
        <v>15</v>
      </c>
      <c r="J16" s="1" t="s">
        <v>34</v>
      </c>
      <c r="K16" s="11" t="s">
        <v>15</v>
      </c>
      <c r="L16" s="1" t="s">
        <v>34</v>
      </c>
      <c r="M16" s="13" t="s">
        <v>15</v>
      </c>
    </row>
    <row r="17" spans="1:13" x14ac:dyDescent="0.3">
      <c r="A17" s="59"/>
      <c r="B17" s="9"/>
      <c r="C17" s="23">
        <v>46235</v>
      </c>
      <c r="D17" s="3">
        <v>0</v>
      </c>
      <c r="E17" s="14">
        <f>IF($E$4=0,0,IF($E$4&gt;0,D17*(('datos mercado 28ene26'!O21*$E$6+$E$4)/1000)))</f>
        <v>0</v>
      </c>
      <c r="F17" s="3">
        <v>0</v>
      </c>
      <c r="G17" s="14">
        <f>IF($G$4=0,0,IF($G$4&gt;0,F17*('datos mercado 28ene26'!O21*$G$6+$G$4)/1000))</f>
        <v>0</v>
      </c>
      <c r="H17" s="3">
        <v>0</v>
      </c>
      <c r="I17" s="14">
        <f>IF($I$4=0,0,IF($I$4&gt;0,H17*('datos mercado 28ene26'!O21*$G$6+$I$4)/1000))</f>
        <v>0</v>
      </c>
      <c r="J17" s="3">
        <v>213.77</v>
      </c>
      <c r="K17" s="14">
        <f>IF($K$4=0,0,IF($K$4&gt;0,J17*('datos mercado 28ene26'!O21*$K$6+$K$4)/1000))</f>
        <v>0</v>
      </c>
      <c r="L17" s="3">
        <v>0</v>
      </c>
      <c r="M17" s="15">
        <f>IF($M$4=0,0,IF($M$4&gt;0,L17*('datos mercado 28ene26'!O21*$M$6+$M$4)/1000))</f>
        <v>0</v>
      </c>
    </row>
    <row r="18" spans="1:13" x14ac:dyDescent="0.3">
      <c r="A18" s="59"/>
      <c r="B18" s="9"/>
      <c r="C18" s="23">
        <v>46266</v>
      </c>
      <c r="D18" s="3">
        <v>128269.97</v>
      </c>
      <c r="E18" s="14">
        <f>IF($E$4=0,0,IF($E$4&gt;0,D18*(('datos mercado 28ene26'!O22*$E$6+$E$4)/1000)))</f>
        <v>0</v>
      </c>
      <c r="F18" s="3">
        <v>25439.86</v>
      </c>
      <c r="G18" s="14">
        <f>IF($G$4=0,0,IF($G$4&gt;0,F18*('datos mercado 28ene26'!O22*$G$6+$G$4)/1000))</f>
        <v>0</v>
      </c>
      <c r="H18" s="3">
        <v>0</v>
      </c>
      <c r="I18" s="14">
        <f>IF($I$4=0,0,IF($I$4&gt;0,H18*('datos mercado 28ene26'!O22*$G$6+$I$4)/1000))</f>
        <v>0</v>
      </c>
      <c r="J18" s="3">
        <v>10940.51</v>
      </c>
      <c r="K18" s="14">
        <f>IF($K$4=0,0,IF($K$4&gt;0,J18*('datos mercado 28ene26'!O22*$K$6+$K$4)/1000))</f>
        <v>0</v>
      </c>
      <c r="L18" s="3">
        <v>42.74</v>
      </c>
      <c r="M18" s="15">
        <f>IF($M$4=0,0,IF($M$4&gt;0,L18*('datos mercado 28ene26'!O22*$M$6+$M$4)/1000))</f>
        <v>0</v>
      </c>
    </row>
    <row r="19" spans="1:13" x14ac:dyDescent="0.3">
      <c r="A19" s="59"/>
      <c r="B19" s="9"/>
      <c r="C19" s="23">
        <v>46296</v>
      </c>
      <c r="D19" s="3">
        <v>654519.32999999996</v>
      </c>
      <c r="E19" s="14">
        <f>IF($E$4=0,0,IF($E$4&gt;0,D19*(('datos mercado 28ene26'!O23*$E$6+$E$4)/1000)))</f>
        <v>0</v>
      </c>
      <c r="F19" s="3">
        <v>95979.78</v>
      </c>
      <c r="G19" s="14">
        <f>IF($G$4=0,0,IF($G$4&gt;0,F19*('datos mercado 28ene26'!O23*$G$6+$G$4)/1000))</f>
        <v>0</v>
      </c>
      <c r="H19" s="3">
        <v>11806.18</v>
      </c>
      <c r="I19" s="14">
        <f>IF($I$4=0,0,IF($I$4&gt;0,H19*('datos mercado 28ene26'!O23*$G$6+$I$4)/1000))</f>
        <v>0</v>
      </c>
      <c r="J19" s="3">
        <v>16961.32</v>
      </c>
      <c r="K19" s="14">
        <f>IF($K$4=0,0,IF($K$4&gt;0,J19*('datos mercado 28ene26'!O23*$K$6+$K$4)/1000))</f>
        <v>0</v>
      </c>
      <c r="L19" s="3">
        <v>106.54</v>
      </c>
      <c r="M19" s="15">
        <f>IF($M$4=0,0,IF($M$4&gt;0,L19*('datos mercado 28ene26'!O23*$M$6+$M$4)/1000))</f>
        <v>0</v>
      </c>
    </row>
    <row r="20" spans="1:13" x14ac:dyDescent="0.3">
      <c r="A20" s="59"/>
      <c r="B20" s="9"/>
      <c r="C20" s="23">
        <v>46327</v>
      </c>
      <c r="D20" s="3">
        <v>1197456.45</v>
      </c>
      <c r="E20" s="14">
        <f>IF($E$4=0,0,IF($E$4&gt;0,D20*(('datos mercado 28ene26'!O24*$E$6+$E$4)/1000)))</f>
        <v>0</v>
      </c>
      <c r="F20" s="3">
        <v>169193.04</v>
      </c>
      <c r="G20" s="14">
        <f>IF($G$4=0,0,IF($G$4&gt;0,F20*('datos mercado 28ene26'!O24*$G$6+$G$4)/1000))</f>
        <v>0</v>
      </c>
      <c r="H20" s="3">
        <v>106691.87</v>
      </c>
      <c r="I20" s="14">
        <f>IF($I$4=0,0,IF($I$4&gt;0,H20*('datos mercado 28ene26'!O24*$G$6+$I$4)/1000))</f>
        <v>0</v>
      </c>
      <c r="J20" s="3">
        <v>15465.97</v>
      </c>
      <c r="K20" s="14">
        <f>IF($K$4=0,0,IF($K$4&gt;0,J20*('datos mercado 28ene26'!O24*$K$6+$K$4)/1000))</f>
        <v>0</v>
      </c>
      <c r="L20" s="3">
        <v>63.47</v>
      </c>
      <c r="M20" s="15">
        <f>IF($M$4=0,0,IF($M$4&gt;0,L20*('datos mercado 28ene26'!O24*$M$6+$M$4)/1000))</f>
        <v>0</v>
      </c>
    </row>
    <row r="21" spans="1:13" x14ac:dyDescent="0.3">
      <c r="A21" s="59"/>
      <c r="B21" s="9"/>
      <c r="C21" s="23">
        <v>46357</v>
      </c>
      <c r="D21" s="3">
        <v>1883796.45</v>
      </c>
      <c r="E21" s="14">
        <f>IF($E$4=0,0,IF($E$4&gt;0,D21*(('datos mercado 28ene26'!O25*$E$6+$E$4)/1000)))</f>
        <v>0</v>
      </c>
      <c r="F21" s="3">
        <v>554313.17000000004</v>
      </c>
      <c r="G21" s="14">
        <f>IF($G$4=0,0,IF($G$4&gt;0,F21*('datos mercado 28ene26'!O25*$G$6+$G$4)/1000))</f>
        <v>0</v>
      </c>
      <c r="H21" s="3">
        <v>281139.78999999998</v>
      </c>
      <c r="I21" s="14">
        <f>IF($I$4=0,0,IF($I$4&gt;0,H21*('datos mercado 28ene26'!O25*$G$6+$I$4)/1000))</f>
        <v>0</v>
      </c>
      <c r="J21" s="3">
        <v>9768.2800000000007</v>
      </c>
      <c r="K21" s="14">
        <f>IF($K$4=0,0,IF($K$4&gt;0,J21*('datos mercado 28ene26'!O25*$K$6+$K$4)/1000))</f>
        <v>0</v>
      </c>
      <c r="L21" s="3">
        <v>349.25</v>
      </c>
      <c r="M21" s="15">
        <f>IF($M$4=0,0,IF($M$4&gt;0,L21*('datos mercado 28ene26'!O25*$M$6+$M$4)/1000))</f>
        <v>0</v>
      </c>
    </row>
    <row r="22" spans="1:13" x14ac:dyDescent="0.3">
      <c r="A22" s="59"/>
      <c r="B22" s="9"/>
      <c r="C22" s="23">
        <v>46388</v>
      </c>
      <c r="D22" s="3">
        <v>2073596.07</v>
      </c>
      <c r="E22" s="14">
        <f>IF($E$4=0,0,IF($E$4&gt;0,D22*(('datos mercado 28ene26'!O26*$E$6+$E$4)/1000)))</f>
        <v>0</v>
      </c>
      <c r="F22" s="3">
        <v>250703.33</v>
      </c>
      <c r="G22" s="14">
        <f>IF($G$4=0,0,IF($G$4&gt;0,F22*('datos mercado 28ene26'!O26*$G$6+$G$4)/1000))</f>
        <v>0</v>
      </c>
      <c r="H22" s="3">
        <v>266020.96999999997</v>
      </c>
      <c r="I22" s="14">
        <f>IF($I$4=0,0,IF($I$4&gt;0,H22*('datos mercado 28ene26'!O26*$G$6+$I$4)/1000))</f>
        <v>0</v>
      </c>
      <c r="J22" s="3">
        <v>17498.349999999999</v>
      </c>
      <c r="K22" s="14">
        <f>IF($K$4=0,0,IF($K$4&gt;0,J22*('datos mercado 28ene26'!O26*$K$6+$K$4)/1000))</f>
        <v>0</v>
      </c>
      <c r="L22" s="3">
        <v>455.74</v>
      </c>
      <c r="M22" s="15">
        <f>IF($M$4=0,0,IF($M$4&gt;0,L22*('datos mercado 28ene26'!O26*$M$6+$M$4)/1000))</f>
        <v>0</v>
      </c>
    </row>
    <row r="23" spans="1:13" x14ac:dyDescent="0.3">
      <c r="A23" s="59"/>
      <c r="B23" s="9"/>
      <c r="C23" s="23">
        <v>46419</v>
      </c>
      <c r="D23" s="3">
        <v>1881572.33</v>
      </c>
      <c r="E23" s="14">
        <f>IF($E$4=0,0,IF($E$4&gt;0,D23*(('datos mercado 28ene26'!O27*$E$6+$E$4)/1000)))</f>
        <v>0</v>
      </c>
      <c r="F23" s="3">
        <v>220442.34</v>
      </c>
      <c r="G23" s="14">
        <f>IF($G$4=0,0,IF($G$4&gt;0,F23*('datos mercado 28ene26'!O27*$G$6+$G$4)/1000))</f>
        <v>0</v>
      </c>
      <c r="H23" s="3">
        <v>275166.03999999998</v>
      </c>
      <c r="I23" s="14">
        <f>IF($I$4=0,0,IF($I$4&gt;0,H23*('datos mercado 28ene26'!O27*$G$6+$I$4)/1000))</f>
        <v>0</v>
      </c>
      <c r="J23" s="3">
        <v>16338.89</v>
      </c>
      <c r="K23" s="14">
        <f>IF($K$4=0,0,IF($K$4&gt;0,J23*('datos mercado 28ene26'!O27*$K$6+$K$4)/1000))</f>
        <v>0</v>
      </c>
      <c r="L23" s="3">
        <v>201.32</v>
      </c>
      <c r="M23" s="15">
        <f>IF($M$4=0,0,IF($M$4&gt;0,L23*('datos mercado 28ene26'!O27*$M$6+$M$4)/1000))</f>
        <v>0</v>
      </c>
    </row>
    <row r="24" spans="1:13" x14ac:dyDescent="0.3">
      <c r="A24" s="59"/>
      <c r="B24" s="9"/>
      <c r="C24" s="23">
        <v>46447</v>
      </c>
      <c r="D24" s="3">
        <v>2454804.71</v>
      </c>
      <c r="E24" s="14">
        <f>IF($E$4=0,0,IF($E$4&gt;0,D24*(('datos mercado 28ene26'!O28*$E$6+$E$4)/1000)))</f>
        <v>0</v>
      </c>
      <c r="F24" s="3">
        <v>256844.04</v>
      </c>
      <c r="G24" s="14">
        <f>IF($G$4=0,0,IF($G$4&gt;0,F24*('datos mercado 28ene26'!O28*$G$6+$G$4)/1000))</f>
        <v>0</v>
      </c>
      <c r="H24" s="3">
        <v>303946.99</v>
      </c>
      <c r="I24" s="14">
        <f>IF($I$4=0,0,IF($I$4&gt;0,H24*('datos mercado 28ene26'!O28*$G$6+$I$4)/1000))</f>
        <v>0</v>
      </c>
      <c r="J24" s="3">
        <v>10916.21</v>
      </c>
      <c r="K24" s="14">
        <f>IF($K$4=0,0,IF($K$4&gt;0,J24*('datos mercado 28ene26'!O28*$K$6+$K$4)/1000))</f>
        <v>0</v>
      </c>
      <c r="L24" s="3">
        <v>423.11</v>
      </c>
      <c r="M24" s="15">
        <f>IF($M$4=0,0,IF($M$4&gt;0,L24*('datos mercado 28ene26'!O28*$M$6+$M$4)/1000))</f>
        <v>0</v>
      </c>
    </row>
    <row r="25" spans="1:13" x14ac:dyDescent="0.3">
      <c r="A25" s="59"/>
      <c r="B25" s="9"/>
      <c r="C25" s="23">
        <v>46478</v>
      </c>
      <c r="D25" s="3">
        <v>994881.28</v>
      </c>
      <c r="E25" s="14">
        <f>IF($E$4=0,0,IF($E$4&gt;0,D25*(('datos mercado 28ene26'!O29*$E$6+$E$4)/1000)))</f>
        <v>0</v>
      </c>
      <c r="F25" s="3">
        <v>199331.27</v>
      </c>
      <c r="G25" s="14">
        <f>IF($G$4=0,0,IF($G$4&gt;0,F25*('datos mercado 28ene26'!O29*$G$6+$G$4)/1000))</f>
        <v>0</v>
      </c>
      <c r="H25" s="3">
        <v>36398.86</v>
      </c>
      <c r="I25" s="14">
        <f>IF($I$4=0,0,IF($I$4&gt;0,H25*('datos mercado 28ene26'!O29*$G$6+$I$4)/1000))</f>
        <v>0</v>
      </c>
      <c r="J25" s="3">
        <v>10077.42</v>
      </c>
      <c r="K25" s="14">
        <f>IF($K$4=0,0,IF($K$4&gt;0,J25*('datos mercado 28ene26'!O29*$K$6+$K$4)/1000))</f>
        <v>0</v>
      </c>
      <c r="L25" s="3">
        <v>379.88</v>
      </c>
      <c r="M25" s="15">
        <f>IF($M$4=0,0,IF($M$4&gt;0,L25*('datos mercado 28ene26'!O29*$M$6+$M$4)/1000))</f>
        <v>0</v>
      </c>
    </row>
    <row r="26" spans="1:13" x14ac:dyDescent="0.3">
      <c r="A26" s="59"/>
      <c r="B26" s="9"/>
      <c r="C26" s="23">
        <v>46508</v>
      </c>
      <c r="D26" s="3">
        <v>627707.17000000004</v>
      </c>
      <c r="E26" s="14">
        <f>IF($E$4=0,0,IF($E$4&gt;0,D26*(('datos mercado 28ene26'!O30*$E$6+$E$4)/1000)))</f>
        <v>0</v>
      </c>
      <c r="F26" s="3">
        <v>116088.31</v>
      </c>
      <c r="G26" s="14">
        <f>IF($G$4=0,0,IF($G$4&gt;0,F26*('datos mercado 28ene26'!O30*$G$6+$G$4)/1000))</f>
        <v>0</v>
      </c>
      <c r="H26" s="3">
        <v>0</v>
      </c>
      <c r="I26" s="14">
        <f>IF($I$4=0,0,IF($I$4&gt;0,H26*('datos mercado 28ene26'!O30*$G$6+$I$4)/1000))</f>
        <v>0</v>
      </c>
      <c r="J26" s="3">
        <v>7117.87</v>
      </c>
      <c r="K26" s="14">
        <f>IF($K$4=0,0,IF($K$4&gt;0,J26*('datos mercado 28ene26'!O30*$K$6+$K$4)/1000))</f>
        <v>0</v>
      </c>
      <c r="L26" s="3">
        <v>200.35</v>
      </c>
      <c r="M26" s="15">
        <f>IF($M$4=0,0,IF($M$4&gt;0,L26*('datos mercado 28ene26'!O30*$M$6+$M$4)/1000))</f>
        <v>0</v>
      </c>
    </row>
    <row r="27" spans="1:13" x14ac:dyDescent="0.3">
      <c r="A27" s="59"/>
      <c r="B27" s="9"/>
      <c r="C27" s="23">
        <v>46539</v>
      </c>
      <c r="D27" s="3">
        <v>98946.05</v>
      </c>
      <c r="E27" s="14">
        <f>IF($E$4=0,0,IF($E$4&gt;0,D27*(('datos mercado 28ene26'!O31*$E$6+$E$4)/1000)))</f>
        <v>0</v>
      </c>
      <c r="F27" s="3">
        <v>1094.8699999999999</v>
      </c>
      <c r="G27" s="14">
        <f>IF($G$4=0,0,IF($G$4&gt;0,F27*('datos mercado 28ene26'!O31*$G$6+$G$4)/1000))</f>
        <v>0</v>
      </c>
      <c r="H27" s="3">
        <v>0</v>
      </c>
      <c r="I27" s="14">
        <f>IF($I$4=0,0,IF($I$4&gt;0,H27*('datos mercado 28ene26'!O31*$G$6+$I$4)/1000))</f>
        <v>0</v>
      </c>
      <c r="J27" s="3">
        <v>4399.58</v>
      </c>
      <c r="K27" s="14">
        <f>IF($K$4=0,0,IF($K$4&gt;0,J27*('datos mercado 28ene26'!O31*$K$6+$K$4)/1000))</f>
        <v>0</v>
      </c>
      <c r="L27" s="3">
        <v>10.58</v>
      </c>
      <c r="M27" s="15">
        <f>IF($M$4=0,0,IF($M$4&gt;0,L27*('datos mercado 28ene26'!O31*$M$6+$M$4)/1000))</f>
        <v>0</v>
      </c>
    </row>
    <row r="28" spans="1:13" x14ac:dyDescent="0.3">
      <c r="A28" s="59"/>
      <c r="B28" s="9"/>
      <c r="C28" s="23">
        <v>46569</v>
      </c>
      <c r="D28" s="3">
        <v>121.11</v>
      </c>
      <c r="E28" s="14">
        <f>IF($E$4=0,0,IF($E$4&gt;0,D28*(('datos mercado 28ene26'!O32*$E$6+$E$4)/1000)))</f>
        <v>0</v>
      </c>
      <c r="F28" s="3">
        <v>0</v>
      </c>
      <c r="G28" s="14">
        <f>IF($G$4=0,0,IF($G$4&gt;0,F28*('datos mercado 28ene26'!O32*$G$6+$G$4)/1000))</f>
        <v>0</v>
      </c>
      <c r="H28" s="3">
        <v>0</v>
      </c>
      <c r="I28" s="14">
        <f>IF($I$4=0,0,IF($I$4&gt;0,H28*('datos mercado 28ene26'!O32*$G$6+$I$4)/1000))</f>
        <v>0</v>
      </c>
      <c r="J28" s="3">
        <v>2511.7800000000002</v>
      </c>
      <c r="K28" s="14">
        <f>IF($K$4=0,0,IF($K$4&gt;0,J28*('datos mercado 28ene26'!O32*$K$6+$K$4)/1000))</f>
        <v>0</v>
      </c>
      <c r="L28" s="3">
        <v>0</v>
      </c>
      <c r="M28" s="15">
        <f>IF($M$4=0,0,IF($M$4&gt;0,L28*('datos mercado 28ene26'!O32*$M$6+$M$4)/1000))</f>
        <v>0</v>
      </c>
    </row>
    <row r="29" spans="1:13" x14ac:dyDescent="0.3">
      <c r="A29" s="59"/>
      <c r="B29" s="9"/>
      <c r="C29" s="2"/>
      <c r="D29" s="3"/>
      <c r="E29" s="14"/>
      <c r="F29" s="3"/>
      <c r="G29" s="14"/>
      <c r="H29" s="3"/>
      <c r="I29" s="14"/>
      <c r="J29" s="3"/>
      <c r="K29" s="14"/>
      <c r="L29" s="3"/>
      <c r="M29" s="15"/>
    </row>
    <row r="30" spans="1:13" x14ac:dyDescent="0.3">
      <c r="A30" s="59"/>
      <c r="B30" s="9">
        <v>2</v>
      </c>
      <c r="C30" s="2" t="s">
        <v>20</v>
      </c>
      <c r="D30" s="3">
        <f>SUM(D17:D28)</f>
        <v>11995670.92</v>
      </c>
      <c r="E30" s="16">
        <f>SUM(E17:E28)</f>
        <v>0</v>
      </c>
      <c r="F30" s="3">
        <f t="shared" ref="F30:M30" si="0">SUM(F17:F28)</f>
        <v>1889430.0100000005</v>
      </c>
      <c r="G30" s="16">
        <f>SUM(G17:G28)</f>
        <v>0</v>
      </c>
      <c r="H30" s="3">
        <f t="shared" si="0"/>
        <v>1281170.7</v>
      </c>
      <c r="I30" s="16">
        <f t="shared" si="0"/>
        <v>0</v>
      </c>
      <c r="J30" s="3">
        <f t="shared" si="0"/>
        <v>122209.94999999998</v>
      </c>
      <c r="K30" s="16">
        <f t="shared" si="0"/>
        <v>0</v>
      </c>
      <c r="L30" s="3">
        <f t="shared" si="0"/>
        <v>2232.98</v>
      </c>
      <c r="M30" s="17">
        <f t="shared" si="0"/>
        <v>0</v>
      </c>
    </row>
    <row r="31" spans="1:13" x14ac:dyDescent="0.3">
      <c r="A31" s="59"/>
      <c r="B31" s="9"/>
      <c r="D31" s="3"/>
      <c r="F31" s="3"/>
      <c r="H31" s="3"/>
      <c r="J31" s="3"/>
      <c r="L31" s="3"/>
      <c r="M31" s="18"/>
    </row>
    <row r="32" spans="1:13" x14ac:dyDescent="0.3">
      <c r="A32" s="59"/>
      <c r="B32" s="9">
        <v>3</v>
      </c>
      <c r="C32" s="1" t="s">
        <v>14</v>
      </c>
      <c r="D32" s="1">
        <v>2.3E-3</v>
      </c>
      <c r="E32" s="16">
        <f>D30*$D$32</f>
        <v>27590.043116000001</v>
      </c>
      <c r="G32" s="16">
        <f>F30*$D$32</f>
        <v>4345.6890230000008</v>
      </c>
      <c r="I32" s="16">
        <f>H30*$D$32</f>
        <v>2946.6926100000001</v>
      </c>
      <c r="K32" s="16">
        <f>J30*$D$32</f>
        <v>281.08288499999998</v>
      </c>
      <c r="M32" s="17">
        <f>L30*$D$32</f>
        <v>5.1358540000000001</v>
      </c>
    </row>
    <row r="33" spans="1:14" x14ac:dyDescent="0.3">
      <c r="A33" s="59"/>
      <c r="B33" s="9"/>
      <c r="M33" s="18"/>
    </row>
    <row r="34" spans="1:14" x14ac:dyDescent="0.3">
      <c r="A34" s="59"/>
      <c r="B34" s="9">
        <v>4</v>
      </c>
      <c r="C34" s="45" t="s">
        <v>42</v>
      </c>
      <c r="D34" s="1">
        <f>97.95+130+183.5</f>
        <v>411.45</v>
      </c>
      <c r="E34" s="16">
        <f>D34*12</f>
        <v>4937.3999999999996</v>
      </c>
      <c r="F34" s="1">
        <f>66.46+55</f>
        <v>121.46</v>
      </c>
      <c r="G34" s="16">
        <f>F34*12</f>
        <v>1457.52</v>
      </c>
      <c r="H34" s="1">
        <v>41.07</v>
      </c>
      <c r="I34" s="16">
        <f>H34*12</f>
        <v>492.84000000000003</v>
      </c>
      <c r="J34" s="1">
        <v>115.94</v>
      </c>
      <c r="K34" s="16">
        <f>J34*12</f>
        <v>1391.28</v>
      </c>
      <c r="L34" s="1">
        <v>24.25</v>
      </c>
      <c r="M34" s="17">
        <f>L34*12</f>
        <v>291</v>
      </c>
    </row>
    <row r="35" spans="1:14" ht="15" thickBot="1" x14ac:dyDescent="0.35">
      <c r="A35" s="59"/>
      <c r="B35" s="9"/>
      <c r="M35" s="18"/>
    </row>
    <row r="36" spans="1:14" ht="15" thickBot="1" x14ac:dyDescent="0.35">
      <c r="A36" s="60"/>
      <c r="B36" s="19">
        <v>5</v>
      </c>
      <c r="C36" s="20" t="s">
        <v>16</v>
      </c>
      <c r="D36" s="20"/>
      <c r="E36" s="21">
        <f>SUM(E32,E30,E14,E34)</f>
        <v>169181.797016</v>
      </c>
      <c r="F36" s="20"/>
      <c r="G36" s="21">
        <f>SUM(G32,G30,G14,G34)</f>
        <v>19244.819023</v>
      </c>
      <c r="H36" s="20"/>
      <c r="I36" s="21">
        <f>SUM(I32,I30,I14,I34)</f>
        <v>6229.7526099999995</v>
      </c>
      <c r="J36" s="20"/>
      <c r="K36" s="21">
        <f>SUM(K32,K30,K14,K34)</f>
        <v>2167.3528850000002</v>
      </c>
      <c r="L36" s="20"/>
      <c r="M36" s="21">
        <f>SUM(M32,M30,M14,M34)</f>
        <v>367.04585399999996</v>
      </c>
      <c r="N36" s="51">
        <f>E36+G36+I36+K36+M36</f>
        <v>197190.76738799998</v>
      </c>
    </row>
    <row r="38" spans="1:14" ht="15" thickBot="1" x14ac:dyDescent="0.35"/>
    <row r="39" spans="1:14" x14ac:dyDescent="0.3">
      <c r="A39" s="58" t="s">
        <v>23</v>
      </c>
      <c r="B39" s="6"/>
      <c r="C39" s="6" t="s">
        <v>18</v>
      </c>
      <c r="D39" s="6"/>
      <c r="E39" s="7">
        <v>0.91102902600000013</v>
      </c>
      <c r="F39" s="7"/>
      <c r="G39" s="7">
        <f>G40/12</f>
        <v>1120.1341666666667</v>
      </c>
      <c r="H39" s="7"/>
      <c r="I39" s="7">
        <f>I40/12</f>
        <v>232.51833333333332</v>
      </c>
      <c r="J39" s="7"/>
      <c r="K39" s="7">
        <f>K40/12</f>
        <v>41.249166666666667</v>
      </c>
      <c r="L39" s="7"/>
      <c r="M39" s="8">
        <f>M40/12</f>
        <v>5.9091666666666667</v>
      </c>
    </row>
    <row r="40" spans="1:14" x14ac:dyDescent="0.3">
      <c r="A40" s="59"/>
      <c r="B40" s="1">
        <v>1</v>
      </c>
      <c r="C40" s="1" t="s">
        <v>19</v>
      </c>
      <c r="E40" s="10">
        <f>E41*E39</f>
        <v>136654.35390000002</v>
      </c>
      <c r="F40" s="11"/>
      <c r="G40" s="10">
        <v>13441.61</v>
      </c>
      <c r="H40" s="11"/>
      <c r="I40" s="10">
        <v>2790.22</v>
      </c>
      <c r="J40" s="11"/>
      <c r="K40" s="10">
        <v>494.99</v>
      </c>
      <c r="L40" s="11"/>
      <c r="M40" s="12">
        <v>70.91</v>
      </c>
    </row>
    <row r="41" spans="1:14" x14ac:dyDescent="0.3">
      <c r="A41" s="59"/>
      <c r="C41" s="1" t="s">
        <v>35</v>
      </c>
      <c r="E41" s="35">
        <v>150000</v>
      </c>
      <c r="F41" s="11"/>
      <c r="G41" s="11"/>
      <c r="H41" s="11"/>
      <c r="I41" s="11"/>
      <c r="J41" s="11"/>
      <c r="K41" s="11"/>
      <c r="L41" s="11"/>
      <c r="M41" s="13"/>
    </row>
    <row r="42" spans="1:14" x14ac:dyDescent="0.3">
      <c r="A42" s="59"/>
      <c r="C42" s="22" t="s">
        <v>25</v>
      </c>
      <c r="D42" s="1" t="s">
        <v>34</v>
      </c>
      <c r="E42" s="11" t="s">
        <v>15</v>
      </c>
      <c r="F42" s="1" t="s">
        <v>34</v>
      </c>
      <c r="G42" s="11" t="s">
        <v>15</v>
      </c>
      <c r="H42" s="1" t="s">
        <v>34</v>
      </c>
      <c r="I42" s="11" t="s">
        <v>15</v>
      </c>
      <c r="J42" s="1" t="s">
        <v>34</v>
      </c>
      <c r="K42" s="11" t="s">
        <v>15</v>
      </c>
      <c r="L42" s="1" t="s">
        <v>34</v>
      </c>
      <c r="M42" s="13" t="s">
        <v>15</v>
      </c>
    </row>
    <row r="43" spans="1:14" x14ac:dyDescent="0.3">
      <c r="A43" s="59"/>
      <c r="C43" s="23">
        <v>46600</v>
      </c>
      <c r="D43" s="3">
        <v>0</v>
      </c>
      <c r="E43" s="14">
        <f>IF($E$4=0,0,IF($E$4&gt;0,D43*('datos mercado 28ene26'!O33+$E$4)/1000))</f>
        <v>0</v>
      </c>
      <c r="F43" s="3">
        <v>0</v>
      </c>
      <c r="G43" s="14">
        <f>IF($G$4=0,0,F43*('datos mercado 28ene26'!O33+$G$4)/1000)</f>
        <v>0</v>
      </c>
      <c r="H43" s="3">
        <v>0</v>
      </c>
      <c r="I43" s="14">
        <f>IF($I$4=0,0,IF($I$4&gt;0,H43*('datos mercado 28ene26'!O33+$I$4)/1000))</f>
        <v>0</v>
      </c>
      <c r="J43" s="3">
        <v>213.77</v>
      </c>
      <c r="K43" s="14">
        <f>IF($K$4=0,0,IF($K$4&gt;0,J43*('datos mercado 28ene26'!O33+$K$4)/1000))</f>
        <v>0</v>
      </c>
      <c r="L43" s="3">
        <v>0</v>
      </c>
      <c r="M43" s="15">
        <f>IF($M$4=0,0,IF($M$4&gt;0,L43*('datos mercado 28ene26'!O33+$M$4)/1000))</f>
        <v>0</v>
      </c>
    </row>
    <row r="44" spans="1:14" x14ac:dyDescent="0.3">
      <c r="A44" s="59"/>
      <c r="C44" s="23">
        <v>46631</v>
      </c>
      <c r="D44" s="3">
        <v>128269.97</v>
      </c>
      <c r="E44" s="14">
        <f>IF($E$4=0,0,IF($E$4&gt;0,D44*('datos mercado 28ene26'!O34+$E$4)/1000))</f>
        <v>0</v>
      </c>
      <c r="F44" s="3">
        <v>25439.86</v>
      </c>
      <c r="G44" s="14">
        <f>IF($G$4=0,0,F44*('datos mercado 28ene26'!O34+$G$4)/1000)</f>
        <v>0</v>
      </c>
      <c r="H44" s="3">
        <v>0</v>
      </c>
      <c r="I44" s="14">
        <f>IF($I$4=0,0,IF($I$4&gt;0,H44*('datos mercado 28ene26'!O34+$I$4)/1000))</f>
        <v>0</v>
      </c>
      <c r="J44" s="3">
        <v>10940.51</v>
      </c>
      <c r="K44" s="14">
        <f>IF($K$4=0,0,IF($K$4&gt;0,J44*('datos mercado 28ene26'!O34+$K$4)/1000))</f>
        <v>0</v>
      </c>
      <c r="L44" s="3">
        <v>42.74</v>
      </c>
      <c r="M44" s="15">
        <f>IF($M$4=0,0,IF($M$4&gt;0,L44*('datos mercado 28ene26'!O34+$M$4)/1000))</f>
        <v>0</v>
      </c>
    </row>
    <row r="45" spans="1:14" x14ac:dyDescent="0.3">
      <c r="A45" s="59"/>
      <c r="C45" s="23">
        <v>46661</v>
      </c>
      <c r="D45" s="3">
        <v>654519.32999999996</v>
      </c>
      <c r="E45" s="14">
        <f>IF($E$4=0,0,IF($E$4&gt;0,D45*('datos mercado 28ene26'!O35+$E$4)/1000))</f>
        <v>0</v>
      </c>
      <c r="F45" s="3">
        <v>95979.78</v>
      </c>
      <c r="G45" s="14">
        <f>IF($G$4=0,0,F45*('datos mercado 28ene26'!O35+$G$4)/1000)</f>
        <v>0</v>
      </c>
      <c r="H45" s="3">
        <v>11806.18</v>
      </c>
      <c r="I45" s="14">
        <f>IF($I$4=0,0,IF($I$4&gt;0,H45*('datos mercado 28ene26'!O35+$I$4)/1000))</f>
        <v>0</v>
      </c>
      <c r="J45" s="3">
        <v>16961.32</v>
      </c>
      <c r="K45" s="14">
        <f>IF($K$4=0,0,IF($K$4&gt;0,J45*('datos mercado 28ene26'!O35+$K$4)/1000))</f>
        <v>0</v>
      </c>
      <c r="L45" s="3">
        <v>106.54</v>
      </c>
      <c r="M45" s="15">
        <f>IF($M$4=0,0,IF($M$4&gt;0,L45*('datos mercado 28ene26'!O35+$M$4)/1000))</f>
        <v>0</v>
      </c>
    </row>
    <row r="46" spans="1:14" x14ac:dyDescent="0.3">
      <c r="A46" s="59"/>
      <c r="C46" s="23">
        <v>46692</v>
      </c>
      <c r="D46" s="3">
        <v>1197456.45</v>
      </c>
      <c r="E46" s="14">
        <f>IF($E$4=0,0,IF($E$4&gt;0,D46*('datos mercado 28ene26'!O36+$E$4)/1000))</f>
        <v>0</v>
      </c>
      <c r="F46" s="3">
        <v>169193.04</v>
      </c>
      <c r="G46" s="14">
        <f>IF($G$4=0,0,F46*('datos mercado 28ene26'!O36+$G$4)/1000)</f>
        <v>0</v>
      </c>
      <c r="H46" s="3">
        <v>106691.87</v>
      </c>
      <c r="I46" s="14">
        <f>IF($I$4=0,0,IF($I$4&gt;0,H46*('datos mercado 28ene26'!O36+$I$4)/1000))</f>
        <v>0</v>
      </c>
      <c r="J46" s="3">
        <v>15465.97</v>
      </c>
      <c r="K46" s="14">
        <f>IF($K$4=0,0,IF($K$4&gt;0,J46*('datos mercado 28ene26'!O36+$K$4)/1000))</f>
        <v>0</v>
      </c>
      <c r="L46" s="3">
        <v>63.47</v>
      </c>
      <c r="M46" s="15">
        <f>IF($M$4=0,0,IF($M$4&gt;0,L46*('datos mercado 28ene26'!O36+$M$4)/1000))</f>
        <v>0</v>
      </c>
    </row>
    <row r="47" spans="1:14" x14ac:dyDescent="0.3">
      <c r="A47" s="59"/>
      <c r="C47" s="23">
        <v>46722</v>
      </c>
      <c r="D47" s="3">
        <v>1883796.45</v>
      </c>
      <c r="E47" s="14">
        <f>IF($E$4=0,0,IF($E$4&gt;0,D47*('datos mercado 28ene26'!O37+$E$4)/1000))</f>
        <v>0</v>
      </c>
      <c r="F47" s="3">
        <v>554313.17000000004</v>
      </c>
      <c r="G47" s="14">
        <f>IF($G$4=0,0,F47*('datos mercado 28ene26'!O37+$G$4)/1000)</f>
        <v>0</v>
      </c>
      <c r="H47" s="3">
        <v>281139.78999999998</v>
      </c>
      <c r="I47" s="14">
        <f>IF($I$4=0,0,IF($I$4&gt;0,H47*('datos mercado 28ene26'!O37+$I$4)/1000))</f>
        <v>0</v>
      </c>
      <c r="J47" s="3">
        <v>9768.2800000000007</v>
      </c>
      <c r="K47" s="14">
        <f>IF($K$4=0,0,IF($K$4&gt;0,J47*('datos mercado 28ene26'!O37+$K$4)/1000))</f>
        <v>0</v>
      </c>
      <c r="L47" s="3">
        <v>349.25</v>
      </c>
      <c r="M47" s="15">
        <f>IF($M$4=0,0,IF($M$4&gt;0,L47*('datos mercado 28ene26'!O37+$M$4)/1000))</f>
        <v>0</v>
      </c>
    </row>
    <row r="48" spans="1:14" x14ac:dyDescent="0.3">
      <c r="A48" s="59"/>
      <c r="C48" s="23">
        <v>46753</v>
      </c>
      <c r="D48" s="3">
        <v>2073596.07</v>
      </c>
      <c r="E48" s="14">
        <f>IF($E$4=0,0,IF($E$4&gt;0,D48*('datos mercado 28ene26'!O38+$E$4)/1000))</f>
        <v>0</v>
      </c>
      <c r="F48" s="3">
        <v>250703.33</v>
      </c>
      <c r="G48" s="14">
        <f>IF($G$4=0,0,F48*('datos mercado 28ene26'!O38+$G$4)/1000)</f>
        <v>0</v>
      </c>
      <c r="H48" s="3">
        <v>266020.96999999997</v>
      </c>
      <c r="I48" s="14">
        <f>IF($I$4=0,0,IF($I$4&gt;0,H48*('datos mercado 28ene26'!O38+$I$4)/1000))</f>
        <v>0</v>
      </c>
      <c r="J48" s="3">
        <v>17498.349999999999</v>
      </c>
      <c r="K48" s="14">
        <f>IF($K$4=0,0,IF($K$4&gt;0,J48*('datos mercado 28ene26'!O38+$K$4)/1000))</f>
        <v>0</v>
      </c>
      <c r="L48" s="3">
        <v>455.74</v>
      </c>
      <c r="M48" s="15">
        <f>IF($M$4=0,0,IF($M$4&gt;0,L48*('datos mercado 28ene26'!O38+$M$4)/1000))</f>
        <v>0</v>
      </c>
    </row>
    <row r="49" spans="1:14" x14ac:dyDescent="0.3">
      <c r="A49" s="59"/>
      <c r="C49" s="23">
        <v>46784</v>
      </c>
      <c r="D49" s="3">
        <v>1881572.33</v>
      </c>
      <c r="E49" s="14">
        <f>IF($E$4=0,0,IF($E$4&gt;0,D49*('datos mercado 28ene26'!O39+$E$4)/1000))</f>
        <v>0</v>
      </c>
      <c r="F49" s="3">
        <v>220442.34</v>
      </c>
      <c r="G49" s="14">
        <f>IF($G$4=0,0,F49*('datos mercado 28ene26'!O39+$G$4)/1000)</f>
        <v>0</v>
      </c>
      <c r="H49" s="3">
        <v>275166.03999999998</v>
      </c>
      <c r="I49" s="14">
        <f>IF($I$4=0,0,IF($I$4&gt;0,H49*('datos mercado 28ene26'!O39+$I$4)/1000))</f>
        <v>0</v>
      </c>
      <c r="J49" s="3">
        <v>16338.89</v>
      </c>
      <c r="K49" s="14">
        <f>IF($K$4=0,0,IF($K$4&gt;0,J49*('datos mercado 28ene26'!O39+$K$4)/1000))</f>
        <v>0</v>
      </c>
      <c r="L49" s="3">
        <v>201.32</v>
      </c>
      <c r="M49" s="15">
        <f>IF($M$4=0,0,IF($M$4&gt;0,L49*('datos mercado 28ene26'!O39+$M$4)/1000))</f>
        <v>0</v>
      </c>
    </row>
    <row r="50" spans="1:14" x14ac:dyDescent="0.3">
      <c r="A50" s="59"/>
      <c r="C50" s="23">
        <v>46813</v>
      </c>
      <c r="D50" s="3">
        <v>2454804.71</v>
      </c>
      <c r="E50" s="14">
        <f>IF($E$4=0,0,IF($E$4&gt;0,D50*('datos mercado 28ene26'!O40+$E$4)/1000))</f>
        <v>0</v>
      </c>
      <c r="F50" s="3">
        <v>256844.04</v>
      </c>
      <c r="G50" s="14">
        <f>IF($G$4=0,0,F50*('datos mercado 28ene26'!O40+$G$4)/1000)</f>
        <v>0</v>
      </c>
      <c r="H50" s="3">
        <v>303946.99</v>
      </c>
      <c r="I50" s="14">
        <f>IF($I$4=0,0,IF($I$4&gt;0,H50*('datos mercado 28ene26'!O40+$I$4)/1000))</f>
        <v>0</v>
      </c>
      <c r="J50" s="3">
        <v>10916.21</v>
      </c>
      <c r="K50" s="14">
        <f>IF($K$4=0,0,IF($K$4&gt;0,J50*('datos mercado 28ene26'!O40+$K$4)/1000))</f>
        <v>0</v>
      </c>
      <c r="L50" s="3">
        <v>423.11</v>
      </c>
      <c r="M50" s="15">
        <f>IF($M$4=0,0,IF($M$4&gt;0,L50*('datos mercado 28ene26'!O40+$M$4)/1000))</f>
        <v>0</v>
      </c>
    </row>
    <row r="51" spans="1:14" x14ac:dyDescent="0.3">
      <c r="A51" s="59"/>
      <c r="C51" s="23">
        <v>46844</v>
      </c>
      <c r="D51" s="3">
        <v>994881.28</v>
      </c>
      <c r="E51" s="14">
        <f>IF($E$4=0,0,IF($E$4&gt;0,D51*('datos mercado 28ene26'!O41+$E$4)/1000))</f>
        <v>0</v>
      </c>
      <c r="F51" s="3">
        <v>199331.27</v>
      </c>
      <c r="G51" s="14">
        <f>IF($G$4=0,0,F51*('datos mercado 28ene26'!O41+$G$4)/1000)</f>
        <v>0</v>
      </c>
      <c r="H51" s="3">
        <v>36398.86</v>
      </c>
      <c r="I51" s="14">
        <f>IF($I$4=0,0,IF($I$4&gt;0,H51*('datos mercado 28ene26'!O41+$I$4)/1000))</f>
        <v>0</v>
      </c>
      <c r="J51" s="3">
        <v>10077.42</v>
      </c>
      <c r="K51" s="14">
        <f>IF($K$4=0,0,IF($K$4&gt;0,J51*('datos mercado 28ene26'!O41+$K$4)/1000))</f>
        <v>0</v>
      </c>
      <c r="L51" s="3">
        <v>379.88</v>
      </c>
      <c r="M51" s="15">
        <f>IF($M$4=0,0,IF($M$4&gt;0,L51*('datos mercado 28ene26'!O41+$M$4)/1000))</f>
        <v>0</v>
      </c>
    </row>
    <row r="52" spans="1:14" x14ac:dyDescent="0.3">
      <c r="A52" s="59"/>
      <c r="C52" s="23">
        <v>46874</v>
      </c>
      <c r="D52" s="3">
        <v>627707.17000000004</v>
      </c>
      <c r="E52" s="14">
        <f>IF($E$4=0,0,IF($E$4&gt;0,D52*('datos mercado 28ene26'!O42+$E$4)/1000))</f>
        <v>0</v>
      </c>
      <c r="F52" s="3">
        <v>116088.31</v>
      </c>
      <c r="G52" s="14">
        <f>IF($G$4=0,0,F52*('datos mercado 28ene26'!O42+$G$4)/1000)</f>
        <v>0</v>
      </c>
      <c r="H52" s="3">
        <v>0</v>
      </c>
      <c r="I52" s="14">
        <f>IF($I$4=0,0,IF($I$4&gt;0,H52*('datos mercado 28ene26'!O42+$I$4)/1000))</f>
        <v>0</v>
      </c>
      <c r="J52" s="3">
        <v>7117.87</v>
      </c>
      <c r="K52" s="14">
        <f>IF($K$4=0,0,IF($K$4&gt;0,J52*('datos mercado 28ene26'!O42+$K$4)/1000))</f>
        <v>0</v>
      </c>
      <c r="L52" s="3">
        <v>200.35</v>
      </c>
      <c r="M52" s="15">
        <f>IF($M$4=0,0,IF($M$4&gt;0,L52*('datos mercado 28ene26'!O42+$M$4)/1000))</f>
        <v>0</v>
      </c>
    </row>
    <row r="53" spans="1:14" x14ac:dyDescent="0.3">
      <c r="A53" s="59"/>
      <c r="C53" s="23">
        <v>46905</v>
      </c>
      <c r="D53" s="3">
        <v>98946.05</v>
      </c>
      <c r="E53" s="14">
        <f>IF($E$4=0,0,IF($E$4&gt;0,D53*('datos mercado 28ene26'!O43+$E$4)/1000))</f>
        <v>0</v>
      </c>
      <c r="F53" s="3">
        <v>1094.8699999999999</v>
      </c>
      <c r="G53" s="14">
        <f>IF($G$4=0,0,F53*('datos mercado 28ene26'!O43+$G$4)/1000)</f>
        <v>0</v>
      </c>
      <c r="H53" s="3">
        <v>0</v>
      </c>
      <c r="I53" s="14">
        <f>IF($I$4=0,0,IF($I$4&gt;0,H53*('datos mercado 28ene26'!O43+$I$4)/1000))</f>
        <v>0</v>
      </c>
      <c r="J53" s="3">
        <v>4399.58</v>
      </c>
      <c r="K53" s="14">
        <f>IF($K$4=0,0,IF($K$4&gt;0,J53*('datos mercado 28ene26'!O43+$K$4)/1000))</f>
        <v>0</v>
      </c>
      <c r="L53" s="3">
        <v>10.58</v>
      </c>
      <c r="M53" s="15">
        <f>IF($M$4=0,0,IF($M$4&gt;0,L53*('datos mercado 28ene26'!O43+$M$4)/1000))</f>
        <v>0</v>
      </c>
    </row>
    <row r="54" spans="1:14" x14ac:dyDescent="0.3">
      <c r="A54" s="59"/>
      <c r="C54" s="23">
        <v>46935</v>
      </c>
      <c r="D54" s="3">
        <v>121.11</v>
      </c>
      <c r="E54" s="14">
        <f>IF($E$4=0,0,IF($E$4&gt;0,D54*('datos mercado 28ene26'!O44+$E$4)/1000))</f>
        <v>0</v>
      </c>
      <c r="F54" s="3">
        <v>0</v>
      </c>
      <c r="G54" s="14">
        <f>IF($G$4=0,0,F54*('datos mercado 28ene26'!O44+$G$4)/1000)</f>
        <v>0</v>
      </c>
      <c r="H54" s="3">
        <v>0</v>
      </c>
      <c r="I54" s="14">
        <f>IF($I$4=0,0,IF($I$4&gt;0,H54*('datos mercado 28ene26'!O44+$I$4)/1000))</f>
        <v>0</v>
      </c>
      <c r="J54" s="3">
        <v>2511.7800000000002</v>
      </c>
      <c r="K54" s="14">
        <f>IF($K$4=0,0,IF($K$4&gt;0,J54*('datos mercado 28ene26'!O44+$K$4)/1000))</f>
        <v>0</v>
      </c>
      <c r="L54" s="3">
        <v>0</v>
      </c>
      <c r="M54" s="15">
        <f>IF($M$4=0,0,IF($M$4&gt;0,L54*('datos mercado 28ene26'!O44+$M$4)/1000))</f>
        <v>0</v>
      </c>
    </row>
    <row r="55" spans="1:14" x14ac:dyDescent="0.3">
      <c r="A55" s="59"/>
      <c r="C55" s="2"/>
      <c r="D55" s="3"/>
      <c r="E55" s="14"/>
      <c r="F55" s="3"/>
      <c r="G55" s="14"/>
      <c r="H55" s="3"/>
      <c r="I55" s="14"/>
      <c r="J55" s="3"/>
      <c r="K55" s="14"/>
      <c r="L55" s="3"/>
      <c r="M55" s="15"/>
    </row>
    <row r="56" spans="1:14" x14ac:dyDescent="0.3">
      <c r="A56" s="59"/>
      <c r="B56" s="1">
        <v>2</v>
      </c>
      <c r="C56" s="2" t="s">
        <v>20</v>
      </c>
      <c r="D56" s="3">
        <f t="shared" ref="D56:M56" si="1">SUM(D43:D54)</f>
        <v>11995670.92</v>
      </c>
      <c r="E56" s="16">
        <f>SUM(E43:E54)</f>
        <v>0</v>
      </c>
      <c r="F56" s="3">
        <f t="shared" si="1"/>
        <v>1889430.0100000005</v>
      </c>
      <c r="G56" s="16">
        <f t="shared" si="1"/>
        <v>0</v>
      </c>
      <c r="H56" s="3">
        <f t="shared" si="1"/>
        <v>1281170.7</v>
      </c>
      <c r="I56" s="16">
        <f t="shared" si="1"/>
        <v>0</v>
      </c>
      <c r="J56" s="3">
        <f t="shared" si="1"/>
        <v>122209.94999999998</v>
      </c>
      <c r="K56" s="16">
        <f t="shared" si="1"/>
        <v>0</v>
      </c>
      <c r="L56" s="3">
        <f t="shared" si="1"/>
        <v>2232.98</v>
      </c>
      <c r="M56" s="17">
        <f t="shared" si="1"/>
        <v>0</v>
      </c>
    </row>
    <row r="57" spans="1:14" x14ac:dyDescent="0.3">
      <c r="A57" s="59"/>
      <c r="M57" s="18"/>
    </row>
    <row r="58" spans="1:14" x14ac:dyDescent="0.3">
      <c r="A58" s="59"/>
      <c r="B58" s="1">
        <v>3</v>
      </c>
      <c r="C58" s="1" t="s">
        <v>14</v>
      </c>
      <c r="D58" s="1">
        <v>2.3E-3</v>
      </c>
      <c r="E58" s="16">
        <f>D56*$D$32</f>
        <v>27590.043116000001</v>
      </c>
      <c r="G58" s="16">
        <f>F56*$D$32</f>
        <v>4345.6890230000008</v>
      </c>
      <c r="I58" s="16">
        <f>H56*$D$32</f>
        <v>2946.6926100000001</v>
      </c>
      <c r="K58" s="16">
        <f>J56*$D$32</f>
        <v>281.08288499999998</v>
      </c>
      <c r="M58" s="17">
        <f>L56*$D$32</f>
        <v>5.1358540000000001</v>
      </c>
    </row>
    <row r="59" spans="1:14" x14ac:dyDescent="0.3">
      <c r="A59" s="59"/>
      <c r="E59" s="4"/>
      <c r="G59" s="4"/>
      <c r="I59" s="4"/>
      <c r="K59" s="4"/>
      <c r="M59" s="44"/>
    </row>
    <row r="60" spans="1:14" x14ac:dyDescent="0.3">
      <c r="A60" s="59"/>
      <c r="B60" s="1">
        <v>4</v>
      </c>
      <c r="C60" s="45" t="s">
        <v>42</v>
      </c>
      <c r="D60" s="46">
        <f>D34*1.03</f>
        <v>423.79349999999999</v>
      </c>
      <c r="E60" s="16">
        <f>D60*12</f>
        <v>5085.5219999999999</v>
      </c>
      <c r="F60" s="46">
        <f>F34*1.03</f>
        <v>125.10379999999999</v>
      </c>
      <c r="G60" s="16">
        <f>F60*12</f>
        <v>1501.2456</v>
      </c>
      <c r="H60" s="46">
        <f>H34*1.03</f>
        <v>42.302100000000003</v>
      </c>
      <c r="I60" s="16">
        <f>H60*12</f>
        <v>507.62520000000006</v>
      </c>
      <c r="J60" s="46">
        <f>J34*1.03</f>
        <v>119.4182</v>
      </c>
      <c r="K60" s="16">
        <f>J60*12</f>
        <v>1433.0183999999999</v>
      </c>
      <c r="L60" s="46">
        <f>L34*1.03</f>
        <v>24.977499999999999</v>
      </c>
      <c r="M60" s="17">
        <f>L60*12</f>
        <v>299.73</v>
      </c>
    </row>
    <row r="61" spans="1:14" ht="15" thickBot="1" x14ac:dyDescent="0.35">
      <c r="A61" s="59"/>
      <c r="M61" s="18"/>
    </row>
    <row r="62" spans="1:14" ht="15" thickBot="1" x14ac:dyDescent="0.35">
      <c r="A62" s="60"/>
      <c r="B62" s="20">
        <v>5</v>
      </c>
      <c r="C62" s="20" t="s">
        <v>16</v>
      </c>
      <c r="D62" s="20"/>
      <c r="E62" s="21">
        <f>SUM(E58,E56,E40,E60)</f>
        <v>169329.919016</v>
      </c>
      <c r="F62" s="20"/>
      <c r="G62" s="21">
        <f>SUM(G58,G56,G40,G60)</f>
        <v>19288.544622999998</v>
      </c>
      <c r="H62" s="20"/>
      <c r="I62" s="21">
        <f>SUM(I58,I56,I40,I60)</f>
        <v>6244.5378099999998</v>
      </c>
      <c r="J62" s="20"/>
      <c r="K62" s="21">
        <f>SUM(K58,K56,K40,K60)</f>
        <v>2209.091285</v>
      </c>
      <c r="L62" s="20"/>
      <c r="M62" s="21">
        <f>SUM(M58,M56,M40,M60)</f>
        <v>375.77585399999998</v>
      </c>
      <c r="N62" s="38">
        <f>SUM(M62,K62,I62,G62,E62)</f>
        <v>197447.86858800001</v>
      </c>
    </row>
    <row r="63" spans="1:14" x14ac:dyDescent="0.3">
      <c r="N63" s="49" t="s">
        <v>27</v>
      </c>
    </row>
    <row r="64" spans="1:14" ht="15" thickBot="1" x14ac:dyDescent="0.35">
      <c r="E64" s="43">
        <f>E36+E62</f>
        <v>338511.71603200003</v>
      </c>
      <c r="F64" s="27"/>
      <c r="G64" s="43">
        <f>G36+G62</f>
        <v>38533.363645999998</v>
      </c>
      <c r="H64" s="27"/>
      <c r="I64" s="43">
        <f>I36+I62</f>
        <v>12474.290419999999</v>
      </c>
      <c r="J64" s="27"/>
      <c r="K64" s="43">
        <f>K36+K62</f>
        <v>4376.4441700000007</v>
      </c>
      <c r="L64" s="27"/>
      <c r="M64" s="43">
        <f>M36+M62</f>
        <v>742.82170799999994</v>
      </c>
      <c r="N64" s="50">
        <f>SUM(N36:N62)</f>
        <v>394638.63597599999</v>
      </c>
    </row>
    <row r="65" spans="11:14" x14ac:dyDescent="0.3">
      <c r="K65" s="57" t="s">
        <v>46</v>
      </c>
      <c r="L65" s="57"/>
      <c r="M65" s="57"/>
      <c r="N65" s="57"/>
    </row>
    <row r="67" spans="11:14" x14ac:dyDescent="0.3">
      <c r="K67" s="1" t="s">
        <v>28</v>
      </c>
    </row>
  </sheetData>
  <sheetProtection algorithmName="SHA-512" hashValue="Pbpi7qBXWdoFoFDpdEQ+VZ4kbhws6CFtCQP37NoY7B19rnju8zMI0peMOmeU95z1FOGNhKHc/888Y4lyQqCaug==" saltValue="r1S1hRb2/RXNYbEUaaDyzg==" spinCount="100000" sheet="1" objects="1" scenarios="1"/>
  <mergeCells count="6">
    <mergeCell ref="B1:M1"/>
    <mergeCell ref="K65:N65"/>
    <mergeCell ref="C3:D3"/>
    <mergeCell ref="E3:M3"/>
    <mergeCell ref="A13:A36"/>
    <mergeCell ref="A39:A62"/>
  </mergeCells>
  <pageMargins left="0.7" right="0.7" top="0.75" bottom="0.75" header="0.3" footer="0.3"/>
  <pageSetup paperSize="9" scale="47" orientation="landscape" horizontalDpi="4294967293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datos mercado 28ene26</vt:lpstr>
      <vt:lpstr>ANexo IX B TTF</vt:lpstr>
      <vt:lpstr>'ANexo IX B TTF'!Área_de_impresión</vt:lpstr>
      <vt:lpstr>'datos mercado 28ene26'!Área_de_impresión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Enrique Hernández</cp:lastModifiedBy>
  <cp:lastPrinted>2026-02-23T14:45:28Z</cp:lastPrinted>
  <dcterms:created xsi:type="dcterms:W3CDTF">2022-02-09T21:28:29Z</dcterms:created>
  <dcterms:modified xsi:type="dcterms:W3CDTF">2026-02-23T14:50:31Z</dcterms:modified>
</cp:coreProperties>
</file>