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\26-224 Suministro energia electrica\3 Pliego y calendario\"/>
    </mc:Choice>
  </mc:AlternateContent>
  <xr:revisionPtr revIDLastSave="0" documentId="13_ncr:1_{8F1477B6-773D-4030-9D97-5440A1EADFA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IX B - coeficientes" sheetId="4" r:id="rId1"/>
    <sheet name="Anexo IX B - total ofertado" sheetId="5" r:id="rId2"/>
    <sheet name="Datos CONSUMOS" sheetId="3" r:id="rId3"/>
    <sheet name="Coste por CUPS" sheetId="9" r:id="rId4"/>
  </sheets>
  <definedNames>
    <definedName name="_xlnm.Print_Area" localSheetId="0">'ANEXO IX B - coeficientes'!$A$1:$N$51</definedName>
    <definedName name="_xlnm.Print_Area" localSheetId="1">'Anexo IX B - total ofertado'!$A$1:$H$34</definedName>
    <definedName name="_xlnm.Print_Area" localSheetId="3">'Coste por CUPS'!$A$1:$U$15</definedName>
    <definedName name="_xlnm.Print_Area" localSheetId="2">'Datos CONSUMOS'!$A$1:$Q$9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3" i="9" l="1"/>
  <c r="R5" i="9"/>
  <c r="S11" i="9"/>
  <c r="S12" i="9"/>
  <c r="S13" i="9"/>
  <c r="S14" i="9"/>
  <c r="R14" i="9"/>
  <c r="P14" i="9"/>
  <c r="P13" i="9"/>
  <c r="R12" i="9"/>
  <c r="P12" i="9"/>
  <c r="R11" i="9"/>
  <c r="P11" i="9"/>
  <c r="D21" i="4"/>
  <c r="E21" i="4"/>
  <c r="F21" i="4"/>
  <c r="G21" i="4"/>
  <c r="H21" i="4"/>
  <c r="C21" i="4"/>
  <c r="D20" i="4"/>
  <c r="E20" i="4"/>
  <c r="F20" i="4"/>
  <c r="G20" i="4"/>
  <c r="H20" i="4"/>
  <c r="C20" i="4"/>
  <c r="S15" i="9" l="1"/>
  <c r="Q14" i="9"/>
  <c r="T14" i="9" s="1"/>
  <c r="U14" i="9" s="1"/>
  <c r="D19" i="5"/>
  <c r="Q13" i="9"/>
  <c r="T13" i="9" s="1"/>
  <c r="U13" i="9" s="1"/>
  <c r="Q11" i="9"/>
  <c r="T11" i="9" s="1"/>
  <c r="R15" i="9"/>
  <c r="D20" i="5"/>
  <c r="Q12" i="9"/>
  <c r="Q15" i="9" l="1"/>
  <c r="T12" i="9"/>
  <c r="U12" i="9" s="1"/>
  <c r="U11" i="9"/>
  <c r="F10" i="5"/>
  <c r="F9" i="5"/>
  <c r="R6" i="9"/>
  <c r="D16" i="4"/>
  <c r="E16" i="4"/>
  <c r="F16" i="4"/>
  <c r="G16" i="4"/>
  <c r="H16" i="4"/>
  <c r="C16" i="4"/>
  <c r="D15" i="4"/>
  <c r="E15" i="4"/>
  <c r="F15" i="4"/>
  <c r="G15" i="4"/>
  <c r="H15" i="4"/>
  <c r="C15" i="4"/>
  <c r="S7" i="9"/>
  <c r="R3" i="9"/>
  <c r="R4" i="9"/>
  <c r="F19" i="5" l="1"/>
  <c r="F29" i="5" s="1"/>
  <c r="E9" i="5"/>
  <c r="F20" i="5"/>
  <c r="F30" i="5"/>
  <c r="E10" i="5"/>
  <c r="T15" i="9"/>
  <c r="U15" i="9" s="1"/>
  <c r="R7" i="9"/>
  <c r="E19" i="5" l="1"/>
  <c r="E29" i="5" s="1"/>
  <c r="P4" i="9"/>
  <c r="P5" i="9"/>
  <c r="P6" i="9"/>
  <c r="P3" i="9"/>
  <c r="D9" i="5" l="1"/>
  <c r="D29" i="5" s="1"/>
  <c r="Q4" i="9" l="1"/>
  <c r="Q5" i="9"/>
  <c r="Q6" i="9"/>
  <c r="D10" i="5"/>
  <c r="D30" i="5" s="1"/>
  <c r="Q3" i="9"/>
  <c r="T3" i="9" l="1"/>
  <c r="U3" i="9" s="1"/>
  <c r="T5" i="9"/>
  <c r="U5" i="9" s="1"/>
  <c r="E20" i="5"/>
  <c r="E30" i="5" s="1"/>
  <c r="G19" i="5"/>
  <c r="H19" i="5" s="1"/>
  <c r="Q7" i="9"/>
  <c r="T6" i="9"/>
  <c r="T4" i="9"/>
  <c r="U6" i="9" l="1"/>
  <c r="G20" i="5"/>
  <c r="H20" i="5" s="1"/>
  <c r="H22" i="5" s="1"/>
  <c r="U4" i="9"/>
  <c r="G10" i="5"/>
  <c r="T7" i="9"/>
  <c r="G9" i="5"/>
  <c r="H9" i="5" l="1"/>
  <c r="H29" i="5" s="1"/>
  <c r="G29" i="5"/>
  <c r="H10" i="5"/>
  <c r="H30" i="5" s="1"/>
  <c r="G30" i="5"/>
  <c r="U7" i="9"/>
  <c r="F8" i="3"/>
  <c r="G8" i="3"/>
  <c r="H8" i="3"/>
  <c r="H12" i="5" l="1"/>
  <c r="H32" i="5"/>
  <c r="I7" i="3"/>
  <c r="C10" i="5" s="1"/>
  <c r="E8" i="3"/>
  <c r="D8" i="3"/>
  <c r="C8" i="3"/>
  <c r="C20" i="5" l="1"/>
  <c r="C30" i="5"/>
  <c r="I6" i="3"/>
  <c r="C9" i="5" s="1"/>
  <c r="C19" i="5" l="1"/>
  <c r="C29" i="5"/>
  <c r="I8" i="3"/>
</calcChain>
</file>

<file path=xl/sharedStrings.xml><?xml version="1.0" encoding="utf-8"?>
<sst xmlns="http://schemas.openxmlformats.org/spreadsheetml/2006/main" count="218" uniqueCount="80">
  <si>
    <t>TARIFAS</t>
  </si>
  <si>
    <t>P1 (kWh)</t>
  </si>
  <si>
    <t>P2 (kWh)</t>
  </si>
  <si>
    <t>P3 (kWh)</t>
  </si>
  <si>
    <t>P4 (kWh)</t>
  </si>
  <si>
    <t>P5 (kWh)</t>
  </si>
  <si>
    <t>P6 (kWh)</t>
  </si>
  <si>
    <t>TOTAL</t>
  </si>
  <si>
    <t>P 1</t>
  </si>
  <si>
    <t>P 2</t>
  </si>
  <si>
    <t>P 3</t>
  </si>
  <si>
    <t>P 4</t>
  </si>
  <si>
    <t>P 5</t>
  </si>
  <si>
    <t>P 6</t>
  </si>
  <si>
    <t>OMIP</t>
  </si>
  <si>
    <t>(€/MWh)</t>
  </si>
  <si>
    <t>eur/MWh</t>
  </si>
  <si>
    <t>APUNTAMIENTOS (Ap)</t>
  </si>
  <si>
    <t>PAGOS POR CAPACIDAD (eur/MWh)</t>
  </si>
  <si>
    <t>PÉRDIDAS (%)</t>
  </si>
  <si>
    <t xml:space="preserve">𝐒𝐒AAh </t>
  </si>
  <si>
    <t xml:space="preserve">POMh </t>
  </si>
  <si>
    <t xml:space="preserve">POSh </t>
  </si>
  <si>
    <t xml:space="preserve">Inth </t>
  </si>
  <si>
    <t>DATOS PARA COMPLETAR PRECIO</t>
  </si>
  <si>
    <t>CONSUMOS 12 meses</t>
  </si>
  <si>
    <t>POTENCIAS</t>
  </si>
  <si>
    <t>Término energía CON ATR SIN IE</t>
  </si>
  <si>
    <t>COSTES ENERGÍA ANUALES</t>
  </si>
  <si>
    <t>CG</t>
  </si>
  <si>
    <t>ATR ENERGIA (eur/MWh)</t>
  </si>
  <si>
    <t>6.1TD</t>
  </si>
  <si>
    <t>6.2TD</t>
  </si>
  <si>
    <t>ATR POTENCIA eur/kW año</t>
  </si>
  <si>
    <t>TOTAL (€)</t>
  </si>
  <si>
    <t>FNEE</t>
  </si>
  <si>
    <t>T. energía (€)</t>
  </si>
  <si>
    <t>T. potencia (€)</t>
  </si>
  <si>
    <t>Otros (€)</t>
  </si>
  <si>
    <t>IE (€)</t>
  </si>
  <si>
    <t>OFERTA</t>
  </si>
  <si>
    <t>* Otros incluye derechos, excesos de potencia y reactiva, etc.</t>
  </si>
  <si>
    <t>ELECTRICIDAD</t>
  </si>
  <si>
    <t>IFEMA</t>
  </si>
  <si>
    <t>CUPS</t>
  </si>
  <si>
    <t>Dar</t>
  </si>
  <si>
    <t>ES0022000007837359VG</t>
  </si>
  <si>
    <t>SUBESTACION PRINCIPAL</t>
  </si>
  <si>
    <t>ES0022000008610883ES</t>
  </si>
  <si>
    <t>ES0022000008610885EV</t>
  </si>
  <si>
    <t>SUMINISTRO SOCORRO</t>
  </si>
  <si>
    <t>ES0022000007419441QL</t>
  </si>
  <si>
    <t>PALACIO</t>
  </si>
  <si>
    <t>Tarifa</t>
  </si>
  <si>
    <t>P1</t>
  </si>
  <si>
    <t>P2</t>
  </si>
  <si>
    <t>P3</t>
  </si>
  <si>
    <t>P4</t>
  </si>
  <si>
    <t>P5</t>
  </si>
  <si>
    <t>P6</t>
  </si>
  <si>
    <t>CONSUMO 12 MESES kWh</t>
  </si>
  <si>
    <t>POTENCIA CONTRATADA kW</t>
  </si>
  <si>
    <t>Consumos (kWh)</t>
  </si>
  <si>
    <t>PALACIO MUNICIPAL</t>
  </si>
  <si>
    <t>GdO 2027</t>
  </si>
  <si>
    <t>GdO 2028</t>
  </si>
  <si>
    <t>ELECTRICIDAD 2027</t>
  </si>
  <si>
    <t>ELECTRICIDAD 2028</t>
  </si>
  <si>
    <t>TÉRMINO DE ENERGÍA CALCULADO  2027 (€/MWh)</t>
  </si>
  <si>
    <t>TÉRMINO DE ENERGÍA CALCULADO  2028 (€/MWh)</t>
  </si>
  <si>
    <t>TOTAL 2027 (€)</t>
  </si>
  <si>
    <t>TOTAL 2028 (€)</t>
  </si>
  <si>
    <t>TOTAL CONTRATO 2027-28</t>
  </si>
  <si>
    <t>ANEXO IX B</t>
  </si>
  <si>
    <t>.- Coeficientes objeto de licitación: Cumplimentar Celdas verdes con dos decimales
.- "DATOS PARA COMPLETAR PRECIO" únicamente a efectos de cálculo.
.- Se facturarán los del mes de la entrega</t>
  </si>
  <si>
    <t>Firma representante legal</t>
  </si>
  <si>
    <t>Firma represente legal</t>
  </si>
  <si>
    <t>ANEXO IX B - TOTAL OFERTADO-</t>
  </si>
  <si>
    <t xml:space="preserve"> Total ofertado IVA EXCLUIDO (incluir esta cifra en el anexo IX A)</t>
  </si>
  <si>
    <t>Coeficientes propuestos con dos decimales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</si>
</sst>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#,##0\ &quot;€&quot;;\-#,##0\ &quot;€&quot;"/>
    <numFmt numFmtId="7" formatCode="#,##0.00\ &quot;€&quot;;\-#,##0.00\ &quot;€&quot;"/>
    <numFmt numFmtId="43" formatCode="_-* #,##0.00_-;\-* #,##0.00_-;_-* &quot;-&quot;??_-;_-@_-"/>
    <numFmt numFmtId="164" formatCode="_-* #,##0_-;\-* #,##0_-;_-* &quot;-&quot;??_-;_-@_-"/>
    <numFmt numFmtId="165" formatCode="0.000"/>
    <numFmt numFmtId="166" formatCode="_-* #,##0\ &quot;€&quot;_-;\-* #,##0\ &quot;€&quot;_-;_-* &quot;-&quot;??\ &quot;€&quot;_-;_-@_-"/>
    <numFmt numFmtId="167" formatCode="0.00000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theme="1"/>
      <name val="Calibri"/>
      <family val="2"/>
      <scheme val="minor"/>
    </font>
    <font>
      <b/>
      <i/>
      <sz val="11"/>
      <color rgb="FF000000"/>
      <name val="Calibri"/>
      <family val="2"/>
    </font>
    <font>
      <sz val="12"/>
      <name val="Polo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.5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rgb="FF000066"/>
      <name val="Calibri"/>
      <family val="2"/>
      <scheme val="minor"/>
    </font>
    <font>
      <b/>
      <u/>
      <sz val="11"/>
      <color rgb="FF000066"/>
      <name val="Calibri"/>
      <family val="2"/>
      <scheme val="minor"/>
    </font>
    <font>
      <b/>
      <sz val="11"/>
      <color rgb="FF000066"/>
      <name val="Calibri"/>
      <family val="2"/>
      <scheme val="minor"/>
    </font>
    <font>
      <b/>
      <sz val="11"/>
      <color rgb="FF000066"/>
      <name val="Calibri"/>
      <family val="2"/>
    </font>
    <font>
      <b/>
      <sz val="11"/>
      <color theme="1"/>
      <name val="Calibri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D00"/>
        <bgColor indexed="64"/>
      </patternFill>
    </fill>
    <fill>
      <patternFill patternType="solid">
        <fgColor rgb="FFF3F2F2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6699"/>
        <bgColor rgb="FF666699"/>
      </patternFill>
    </fill>
    <fill>
      <patternFill patternType="solid">
        <fgColor theme="4"/>
        <bgColor rgb="FF666699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  <xf numFmtId="0" fontId="8" fillId="0" borderId="0"/>
  </cellStyleXfs>
  <cellXfs count="159">
    <xf numFmtId="0" fontId="0" fillId="0" borderId="0" xfId="0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4" borderId="4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10" fontId="0" fillId="4" borderId="12" xfId="3" applyNumberFormat="1" applyFont="1" applyFill="1" applyBorder="1" applyAlignment="1" applyProtection="1">
      <alignment horizontal="center"/>
    </xf>
    <xf numFmtId="10" fontId="0" fillId="4" borderId="6" xfId="3" applyNumberFormat="1" applyFont="1" applyFill="1" applyBorder="1" applyAlignment="1" applyProtection="1">
      <alignment horizontal="center"/>
    </xf>
    <xf numFmtId="10" fontId="0" fillId="4" borderId="13" xfId="3" applyNumberFormat="1" applyFont="1" applyFill="1" applyBorder="1" applyAlignment="1" applyProtection="1">
      <alignment horizontal="center"/>
    </xf>
    <xf numFmtId="10" fontId="0" fillId="4" borderId="7" xfId="3" applyNumberFormat="1" applyFont="1" applyFill="1" applyBorder="1" applyAlignment="1" applyProtection="1">
      <alignment horizontal="center"/>
    </xf>
    <xf numFmtId="10" fontId="0" fillId="4" borderId="8" xfId="3" applyNumberFormat="1" applyFont="1" applyFill="1" applyBorder="1" applyAlignment="1" applyProtection="1">
      <alignment horizontal="center"/>
    </xf>
    <xf numFmtId="10" fontId="0" fillId="4" borderId="9" xfId="3" applyNumberFormat="1" applyFont="1" applyFill="1" applyBorder="1" applyAlignment="1" applyProtection="1">
      <alignment horizontal="center"/>
    </xf>
    <xf numFmtId="0" fontId="11" fillId="0" borderId="0" xfId="0" applyFont="1"/>
    <xf numFmtId="0" fontId="2" fillId="4" borderId="1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3" fillId="4" borderId="12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3" fillId="4" borderId="13" xfId="0" applyNumberFormat="1" applyFont="1" applyFill="1" applyBorder="1" applyAlignment="1">
      <alignment horizontal="center" vertical="center"/>
    </xf>
    <xf numFmtId="3" fontId="3" fillId="4" borderId="26" xfId="0" applyNumberFormat="1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164" fontId="3" fillId="4" borderId="17" xfId="0" applyNumberFormat="1" applyFont="1" applyFill="1" applyBorder="1" applyAlignment="1">
      <alignment horizontal="center" vertical="center"/>
    </xf>
    <xf numFmtId="164" fontId="3" fillId="4" borderId="18" xfId="0" applyNumberFormat="1" applyFont="1" applyFill="1" applyBorder="1" applyAlignment="1">
      <alignment horizontal="center" vertical="center"/>
    </xf>
    <xf numFmtId="164" fontId="3" fillId="4" borderId="19" xfId="0" applyNumberFormat="1" applyFont="1" applyFill="1" applyBorder="1" applyAlignment="1">
      <alignment horizontal="center" vertical="center"/>
    </xf>
    <xf numFmtId="3" fontId="3" fillId="4" borderId="37" xfId="0" applyNumberFormat="1" applyFont="1" applyFill="1" applyBorder="1" applyAlignment="1">
      <alignment horizontal="center" vertical="center"/>
    </xf>
    <xf numFmtId="164" fontId="3" fillId="4" borderId="7" xfId="0" applyNumberFormat="1" applyFont="1" applyFill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164" fontId="3" fillId="4" borderId="9" xfId="0" applyNumberFormat="1" applyFont="1" applyFill="1" applyBorder="1" applyAlignment="1">
      <alignment horizontal="center" vertical="center"/>
    </xf>
    <xf numFmtId="3" fontId="2" fillId="4" borderId="22" xfId="0" applyNumberFormat="1" applyFont="1" applyFill="1" applyBorder="1" applyAlignment="1">
      <alignment horizontal="center" vertical="center"/>
    </xf>
    <xf numFmtId="3" fontId="2" fillId="4" borderId="23" xfId="0" applyNumberFormat="1" applyFont="1" applyFill="1" applyBorder="1" applyAlignment="1">
      <alignment horizontal="center" vertical="center"/>
    </xf>
    <xf numFmtId="3" fontId="2" fillId="4" borderId="24" xfId="0" applyNumberFormat="1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3" fontId="2" fillId="0" borderId="0" xfId="0" applyNumberFormat="1" applyFont="1" applyAlignment="1">
      <alignment horizontal="center" vertical="center"/>
    </xf>
    <xf numFmtId="9" fontId="2" fillId="0" borderId="0" xfId="3" applyFont="1" applyAlignment="1" applyProtection="1">
      <alignment horizontal="center" vertical="center"/>
    </xf>
    <xf numFmtId="9" fontId="2" fillId="0" borderId="0" xfId="3" applyFont="1" applyAlignment="1" applyProtection="1">
      <alignment vertical="center" wrapText="1"/>
    </xf>
    <xf numFmtId="0" fontId="1" fillId="0" borderId="3" xfId="0" applyFont="1" applyBorder="1"/>
    <xf numFmtId="0" fontId="13" fillId="0" borderId="0" xfId="0" applyFont="1"/>
    <xf numFmtId="0" fontId="7" fillId="0" borderId="0" xfId="0" applyFont="1" applyAlignment="1">
      <alignment horizontal="left" vertical="center"/>
    </xf>
    <xf numFmtId="0" fontId="2" fillId="4" borderId="10" xfId="0" applyFont="1" applyFill="1" applyBorder="1" applyAlignment="1">
      <alignment horizontal="center" vertical="center"/>
    </xf>
    <xf numFmtId="167" fontId="0" fillId="4" borderId="11" xfId="0" applyNumberFormat="1" applyFill="1" applyBorder="1" applyAlignment="1">
      <alignment horizontal="center"/>
    </xf>
    <xf numFmtId="0" fontId="2" fillId="4" borderId="2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167" fontId="0" fillId="4" borderId="6" xfId="0" applyNumberFormat="1" applyFill="1" applyBorder="1" applyAlignment="1">
      <alignment horizontal="center"/>
    </xf>
    <xf numFmtId="0" fontId="2" fillId="4" borderId="21" xfId="0" applyFont="1" applyFill="1" applyBorder="1" applyAlignment="1">
      <alignment horizontal="center" vertical="center"/>
    </xf>
    <xf numFmtId="165" fontId="0" fillId="4" borderId="12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4" borderId="13" xfId="0" applyNumberFormat="1" applyFill="1" applyBorder="1" applyAlignment="1">
      <alignment horizontal="center"/>
    </xf>
    <xf numFmtId="167" fontId="3" fillId="4" borderId="6" xfId="0" applyNumberFormat="1" applyFon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/>
    </xf>
    <xf numFmtId="165" fontId="0" fillId="4" borderId="8" xfId="0" applyNumberFormat="1" applyFill="1" applyBorder="1" applyAlignment="1">
      <alignment horizontal="center"/>
    </xf>
    <xf numFmtId="165" fontId="0" fillId="4" borderId="9" xfId="0" applyNumberFormat="1" applyFill="1" applyBorder="1" applyAlignment="1">
      <alignment horizontal="center"/>
    </xf>
    <xf numFmtId="0" fontId="2" fillId="4" borderId="38" xfId="0" applyFont="1" applyFill="1" applyBorder="1" applyAlignment="1">
      <alignment horizontal="center" vertical="center"/>
    </xf>
    <xf numFmtId="167" fontId="0" fillId="4" borderId="35" xfId="0" applyNumberFormat="1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11" fillId="0" borderId="0" xfId="0" applyFont="1" applyAlignment="1">
      <alignment vertical="center"/>
    </xf>
    <xf numFmtId="3" fontId="9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5" fontId="9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7" fontId="0" fillId="3" borderId="34" xfId="1" applyNumberFormat="1" applyFont="1" applyFill="1" applyBorder="1" applyAlignment="1" applyProtection="1">
      <alignment horizontal="center" vertical="center"/>
    </xf>
    <xf numFmtId="7" fontId="0" fillId="3" borderId="14" xfId="1" applyNumberFormat="1" applyFont="1" applyFill="1" applyBorder="1" applyAlignment="1" applyProtection="1">
      <alignment horizontal="center" vertical="center"/>
    </xf>
    <xf numFmtId="7" fontId="0" fillId="3" borderId="26" xfId="1" applyNumberFormat="1" applyFont="1" applyFill="1" applyBorder="1" applyAlignment="1" applyProtection="1">
      <alignment horizontal="center" vertical="center"/>
    </xf>
    <xf numFmtId="7" fontId="0" fillId="3" borderId="8" xfId="1" applyNumberFormat="1" applyFont="1" applyFill="1" applyBorder="1" applyAlignment="1" applyProtection="1">
      <alignment horizontal="center" vertical="center"/>
    </xf>
    <xf numFmtId="7" fontId="0" fillId="3" borderId="29" xfId="1" applyNumberFormat="1" applyFont="1" applyFill="1" applyBorder="1" applyAlignment="1" applyProtection="1">
      <alignment horizontal="center" vertical="center"/>
    </xf>
    <xf numFmtId="164" fontId="0" fillId="0" borderId="0" xfId="1" applyNumberFormat="1" applyFont="1" applyBorder="1" applyAlignment="1" applyProtection="1">
      <alignment horizontal="center" vertical="center"/>
    </xf>
    <xf numFmtId="0" fontId="14" fillId="0" borderId="0" xfId="0" quotePrefix="1" applyFont="1" applyAlignment="1">
      <alignment vertical="center"/>
    </xf>
    <xf numFmtId="7" fontId="0" fillId="3" borderId="28" xfId="1" applyNumberFormat="1" applyFont="1" applyFill="1" applyBorder="1" applyAlignment="1" applyProtection="1">
      <alignment horizontal="center" vertical="center"/>
    </xf>
    <xf numFmtId="0" fontId="12" fillId="0" borderId="0" xfId="0" applyFont="1" applyAlignment="1">
      <alignment horizontal="right" vertical="center" indent="1"/>
    </xf>
    <xf numFmtId="0" fontId="9" fillId="5" borderId="0" xfId="0" applyFont="1" applyFill="1" applyAlignment="1">
      <alignment vertical="center"/>
    </xf>
    <xf numFmtId="0" fontId="11" fillId="5" borderId="0" xfId="0" applyFont="1" applyFill="1" applyAlignment="1">
      <alignment vertical="center"/>
    </xf>
    <xf numFmtId="0" fontId="9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/>
    </xf>
    <xf numFmtId="7" fontId="4" fillId="6" borderId="1" xfId="1" applyNumberFormat="1" applyFont="1" applyFill="1" applyBorder="1" applyAlignment="1" applyProtection="1">
      <alignment vertical="center"/>
    </xf>
    <xf numFmtId="0" fontId="18" fillId="5" borderId="39" xfId="0" applyFont="1" applyFill="1" applyBorder="1" applyAlignment="1">
      <alignment horizontal="center" vertical="center"/>
    </xf>
    <xf numFmtId="0" fontId="19" fillId="8" borderId="6" xfId="0" applyFont="1" applyFill="1" applyBorder="1" applyAlignment="1">
      <alignment horizontal="center" vertical="center"/>
    </xf>
    <xf numFmtId="0" fontId="20" fillId="8" borderId="6" xfId="0" applyFont="1" applyFill="1" applyBorder="1" applyAlignment="1">
      <alignment horizontal="center" vertical="center"/>
    </xf>
    <xf numFmtId="0" fontId="18" fillId="5" borderId="41" xfId="0" applyFont="1" applyFill="1" applyBorder="1" applyAlignment="1">
      <alignment horizontal="center" vertical="center"/>
    </xf>
    <xf numFmtId="0" fontId="18" fillId="5" borderId="16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33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8" borderId="32" xfId="0" applyFont="1" applyFill="1" applyBorder="1" applyAlignment="1">
      <alignment horizontal="center" vertical="center"/>
    </xf>
    <xf numFmtId="165" fontId="0" fillId="8" borderId="6" xfId="0" applyNumberFormat="1" applyFill="1" applyBorder="1"/>
    <xf numFmtId="165" fontId="0" fillId="8" borderId="13" xfId="0" applyNumberFormat="1" applyFill="1" applyBorder="1"/>
    <xf numFmtId="165" fontId="0" fillId="8" borderId="8" xfId="0" applyNumberFormat="1" applyFill="1" applyBorder="1"/>
    <xf numFmtId="165" fontId="0" fillId="8" borderId="9" xfId="0" applyNumberFormat="1" applyFill="1" applyBorder="1"/>
    <xf numFmtId="0" fontId="2" fillId="8" borderId="27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9" fillId="5" borderId="36" xfId="0" applyFont="1" applyFill="1" applyBorder="1"/>
    <xf numFmtId="0" fontId="11" fillId="5" borderId="36" xfId="0" applyFont="1" applyFill="1" applyBorder="1"/>
    <xf numFmtId="3" fontId="11" fillId="5" borderId="36" xfId="0" applyNumberFormat="1" applyFont="1" applyFill="1" applyBorder="1"/>
    <xf numFmtId="0" fontId="1" fillId="5" borderId="0" xfId="0" applyFont="1" applyFill="1"/>
    <xf numFmtId="7" fontId="0" fillId="0" borderId="6" xfId="1" applyNumberFormat="1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7" fontId="0" fillId="3" borderId="6" xfId="0" applyNumberForma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3" fontId="3" fillId="12" borderId="25" xfId="0" applyNumberFormat="1" applyFont="1" applyFill="1" applyBorder="1" applyAlignment="1">
      <alignment horizontal="center" vertical="center"/>
    </xf>
    <xf numFmtId="3" fontId="3" fillId="12" borderId="29" xfId="0" applyNumberFormat="1" applyFont="1" applyFill="1" applyBorder="1" applyAlignment="1">
      <alignment horizontal="center" vertical="center"/>
    </xf>
    <xf numFmtId="165" fontId="0" fillId="8" borderId="27" xfId="0" applyNumberFormat="1" applyFill="1" applyBorder="1"/>
    <xf numFmtId="165" fontId="0" fillId="8" borderId="40" xfId="0" applyNumberFormat="1" applyFill="1" applyBorder="1"/>
    <xf numFmtId="7" fontId="1" fillId="13" borderId="6" xfId="0" applyNumberFormat="1" applyFont="1" applyFill="1" applyBorder="1" applyAlignment="1">
      <alignment horizontal="center" vertical="center"/>
    </xf>
    <xf numFmtId="0" fontId="21" fillId="9" borderId="6" xfId="0" applyFont="1" applyFill="1" applyBorder="1" applyAlignment="1">
      <alignment horizontal="center" vertical="center"/>
    </xf>
    <xf numFmtId="2" fontId="21" fillId="9" borderId="6" xfId="0" applyNumberFormat="1" applyFont="1" applyFill="1" applyBorder="1" applyAlignment="1">
      <alignment horizontal="center" vertical="center"/>
    </xf>
    <xf numFmtId="2" fontId="21" fillId="10" borderId="6" xfId="0" applyNumberFormat="1" applyFont="1" applyFill="1" applyBorder="1" applyAlignment="1">
      <alignment horizontal="center" vertical="center"/>
    </xf>
    <xf numFmtId="0" fontId="0" fillId="0" borderId="6" xfId="0" applyBorder="1"/>
    <xf numFmtId="43" fontId="0" fillId="0" borderId="6" xfId="1" applyFont="1" applyBorder="1"/>
    <xf numFmtId="164" fontId="0" fillId="0" borderId="6" xfId="1" applyNumberFormat="1" applyFont="1" applyBorder="1"/>
    <xf numFmtId="164" fontId="0" fillId="0" borderId="6" xfId="0" applyNumberFormat="1" applyBorder="1"/>
    <xf numFmtId="0" fontId="3" fillId="0" borderId="6" xfId="0" applyFont="1" applyBorder="1"/>
    <xf numFmtId="7" fontId="9" fillId="6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7" fontId="0" fillId="0" borderId="0" xfId="0" applyNumberFormat="1" applyAlignment="1">
      <alignment horizontal="left"/>
    </xf>
    <xf numFmtId="14" fontId="0" fillId="0" borderId="0" xfId="0" applyNumberFormat="1"/>
    <xf numFmtId="4" fontId="0" fillId="0" borderId="0" xfId="0" applyNumberFormat="1" applyAlignment="1">
      <alignment horizontal="left"/>
    </xf>
    <xf numFmtId="4" fontId="0" fillId="0" borderId="0" xfId="0" applyNumberFormat="1"/>
    <xf numFmtId="7" fontId="0" fillId="0" borderId="0" xfId="0" applyNumberFormat="1"/>
    <xf numFmtId="2" fontId="0" fillId="2" borderId="6" xfId="0" applyNumberFormat="1" applyFill="1" applyBorder="1" applyAlignment="1" applyProtection="1">
      <alignment horizontal="center" vertical="center"/>
      <protection locked="0"/>
    </xf>
    <xf numFmtId="0" fontId="22" fillId="0" borderId="0" xfId="0" applyFont="1"/>
    <xf numFmtId="0" fontId="16" fillId="0" borderId="0" xfId="0" applyFont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8" fillId="5" borderId="0" xfId="0" applyFont="1" applyFill="1" applyAlignment="1">
      <alignment horizontal="left" vertical="center" wrapText="1" indent="1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5" fillId="7" borderId="4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4" borderId="22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2" fontId="21" fillId="9" borderId="0" xfId="0" applyNumberFormat="1" applyFont="1" applyFill="1" applyAlignment="1">
      <alignment horizontal="center" vertical="center"/>
    </xf>
    <xf numFmtId="2" fontId="21" fillId="10" borderId="0" xfId="0" applyNumberFormat="1" applyFont="1" applyFill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  <xf numFmtId="7" fontId="4" fillId="14" borderId="1" xfId="1" applyNumberFormat="1" applyFont="1" applyFill="1" applyBorder="1" applyAlignment="1" applyProtection="1">
      <alignment vertical="center"/>
    </xf>
    <xf numFmtId="2" fontId="0" fillId="8" borderId="0" xfId="0" applyNumberFormat="1" applyFill="1" applyBorder="1" applyAlignment="1" applyProtection="1">
      <alignment horizontal="center" vertical="center"/>
      <protection locked="0"/>
    </xf>
    <xf numFmtId="0" fontId="23" fillId="0" borderId="42" xfId="0" applyFont="1" applyBorder="1" applyAlignment="1">
      <alignment horizontal="center"/>
    </xf>
  </cellXfs>
  <cellStyles count="5">
    <cellStyle name="% 2 2" xfId="2" xr:uid="{00000000-0005-0000-0000-000000000000}"/>
    <cellStyle name="% 4" xfId="4" xr:uid="{00000000-0005-0000-0000-000001000000}"/>
    <cellStyle name="Millares" xfId="1" builtinId="3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FF4B"/>
      <color rgb="FF000066"/>
      <color rgb="FFFFCD00"/>
      <color rgb="FFF3F2F2"/>
      <color rgb="FF1ECAD3"/>
      <color rgb="FF348F41"/>
      <color rgb="FF3BFF94"/>
      <color rgb="FF2DFF8C"/>
      <color rgb="FF01FF74"/>
      <color rgb="FFFFFF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7</xdr:col>
      <xdr:colOff>714375</xdr:colOff>
      <xdr:row>11</xdr:row>
      <xdr:rowOff>11250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8EE0F4D-D861-B75E-5282-F519AE25A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2314575"/>
          <a:ext cx="5286375" cy="582750"/>
        </a:xfrm>
        <a:prstGeom prst="rect">
          <a:avLst/>
        </a:prstGeom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66"/>
    <pageSetUpPr fitToPage="1"/>
  </sheetPr>
  <dimension ref="B1:Q51"/>
  <sheetViews>
    <sheetView showGridLines="0" tabSelected="1" zoomScale="70" zoomScaleNormal="70" workbookViewId="0">
      <selection activeCell="L9" sqref="L9:L11"/>
    </sheetView>
  </sheetViews>
  <sheetFormatPr baseColWidth="10" defaultRowHeight="14.4"/>
  <cols>
    <col min="1" max="1" width="3.6640625" customWidth="1"/>
    <col min="8" max="8" width="16.5546875" customWidth="1"/>
    <col min="9" max="9" width="2.6640625" customWidth="1"/>
    <col min="12" max="12" width="14.109375" customWidth="1"/>
    <col min="13" max="13" width="17.6640625" customWidth="1"/>
  </cols>
  <sheetData>
    <row r="1" spans="2:17" ht="25.8">
      <c r="B1" s="135" t="s">
        <v>73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</row>
    <row r="3" spans="2:17" ht="66" customHeight="1">
      <c r="B3" s="139" t="s">
        <v>74</v>
      </c>
      <c r="C3" s="139"/>
      <c r="D3" s="139"/>
      <c r="E3" s="139"/>
      <c r="F3" s="139"/>
      <c r="G3" s="139"/>
      <c r="H3" s="139"/>
    </row>
    <row r="5" spans="2:17">
      <c r="B5" s="143" t="s">
        <v>28</v>
      </c>
      <c r="C5" s="143"/>
      <c r="D5" s="143"/>
      <c r="E5" s="143"/>
      <c r="F5" s="143"/>
      <c r="G5" s="143"/>
      <c r="H5" s="143"/>
    </row>
    <row r="7" spans="2:17" s="1" customFormat="1">
      <c r="B7" s="89" t="s">
        <v>14</v>
      </c>
      <c r="C7" s="92">
        <v>90</v>
      </c>
      <c r="D7" s="93" t="s">
        <v>15</v>
      </c>
      <c r="L7"/>
      <c r="M7"/>
      <c r="N7"/>
      <c r="O7"/>
      <c r="P7"/>
      <c r="Q7"/>
    </row>
    <row r="8" spans="2:17">
      <c r="K8" s="158" t="s">
        <v>79</v>
      </c>
      <c r="L8" s="158"/>
      <c r="M8" s="158"/>
    </row>
    <row r="9" spans="2:17">
      <c r="C9" s="4"/>
      <c r="K9" s="90" t="s">
        <v>29</v>
      </c>
      <c r="L9" s="133"/>
      <c r="M9" s="91" t="s">
        <v>16</v>
      </c>
      <c r="O9" s="157"/>
    </row>
    <row r="10" spans="2:17">
      <c r="C10" s="4"/>
      <c r="K10" s="90" t="s">
        <v>64</v>
      </c>
      <c r="L10" s="133"/>
      <c r="M10" s="91" t="s">
        <v>16</v>
      </c>
      <c r="O10" s="157"/>
    </row>
    <row r="11" spans="2:17">
      <c r="C11" s="4"/>
      <c r="K11" s="90" t="s">
        <v>65</v>
      </c>
      <c r="L11" s="133"/>
      <c r="M11" s="91" t="s">
        <v>16</v>
      </c>
      <c r="O11" s="157"/>
    </row>
    <row r="12" spans="2:17" ht="15" thickBot="1"/>
    <row r="13" spans="2:17" ht="15" thickBot="1">
      <c r="B13" s="40"/>
      <c r="C13" s="140" t="s">
        <v>68</v>
      </c>
      <c r="D13" s="141"/>
      <c r="E13" s="141"/>
      <c r="F13" s="141"/>
      <c r="G13" s="141"/>
      <c r="H13" s="142"/>
    </row>
    <row r="14" spans="2:17" ht="15" thickBot="1">
      <c r="B14" s="94" t="s">
        <v>0</v>
      </c>
      <c r="C14" s="95" t="s">
        <v>8</v>
      </c>
      <c r="D14" s="96" t="s">
        <v>9</v>
      </c>
      <c r="E14" s="96" t="s">
        <v>10</v>
      </c>
      <c r="F14" s="96" t="s">
        <v>11</v>
      </c>
      <c r="G14" s="96" t="s">
        <v>12</v>
      </c>
      <c r="H14" s="97" t="s">
        <v>13</v>
      </c>
    </row>
    <row r="15" spans="2:17">
      <c r="B15" s="102" t="s">
        <v>31</v>
      </c>
      <c r="C15" s="115">
        <f t="shared" ref="C15:H16" si="0">+(($C$7*C29+C34+$L$27+$L$28+$L$29+$L$30+$L$31)*(1+C39)+$L$9+$L$10)*1.015+C43</f>
        <v>178.8964364882066</v>
      </c>
      <c r="D15" s="98">
        <f t="shared" si="0"/>
        <v>145.5105216170187</v>
      </c>
      <c r="E15" s="98">
        <f t="shared" si="0"/>
        <v>130.6089612972907</v>
      </c>
      <c r="F15" s="98">
        <f t="shared" si="0"/>
        <v>117.30754016672502</v>
      </c>
      <c r="G15" s="98">
        <f t="shared" si="0"/>
        <v>105.08432806477776</v>
      </c>
      <c r="H15" s="99">
        <f t="shared" si="0"/>
        <v>121.72836616172295</v>
      </c>
    </row>
    <row r="16" spans="2:17" ht="15" thickBot="1">
      <c r="B16" s="103" t="s">
        <v>32</v>
      </c>
      <c r="C16" s="116">
        <f t="shared" si="0"/>
        <v>203.14811107087598</v>
      </c>
      <c r="D16" s="100">
        <f t="shared" si="0"/>
        <v>161.85579294461999</v>
      </c>
      <c r="E16" s="100">
        <f t="shared" si="0"/>
        <v>119.23546347243025</v>
      </c>
      <c r="F16" s="100">
        <f t="shared" si="0"/>
        <v>91.792577930067921</v>
      </c>
      <c r="G16" s="100">
        <f t="shared" si="0"/>
        <v>75.034229547064513</v>
      </c>
      <c r="H16" s="101">
        <f t="shared" si="0"/>
        <v>113.33465133374808</v>
      </c>
    </row>
    <row r="17" spans="2:14" ht="15" thickBot="1">
      <c r="B17" s="42" t="s">
        <v>27</v>
      </c>
    </row>
    <row r="18" spans="2:14" ht="15" thickBot="1">
      <c r="B18" s="40"/>
      <c r="C18" s="140" t="s">
        <v>69</v>
      </c>
      <c r="D18" s="141"/>
      <c r="E18" s="141"/>
      <c r="F18" s="141"/>
      <c r="G18" s="141"/>
      <c r="H18" s="142"/>
    </row>
    <row r="19" spans="2:14" ht="15" thickBot="1">
      <c r="B19" s="94" t="s">
        <v>0</v>
      </c>
      <c r="C19" s="95" t="s">
        <v>8</v>
      </c>
      <c r="D19" s="96" t="s">
        <v>9</v>
      </c>
      <c r="E19" s="96" t="s">
        <v>10</v>
      </c>
      <c r="F19" s="96" t="s">
        <v>11</v>
      </c>
      <c r="G19" s="96" t="s">
        <v>12</v>
      </c>
      <c r="H19" s="97" t="s">
        <v>13</v>
      </c>
    </row>
    <row r="20" spans="2:14">
      <c r="B20" s="102" t="s">
        <v>31</v>
      </c>
      <c r="C20" s="115">
        <f>+(($C$7*C29+C34+$L$27+$L$28+$L$29+$L$30+$L$31)*(1+C39)+$L$9+$L$11)*1.015+C43</f>
        <v>178.8964364882066</v>
      </c>
      <c r="D20" s="115">
        <f t="shared" ref="D20:H20" si="1">+(($C$7*D29+D34+$L$27+$L$28+$L$29+$L$30+$L$31)*(1+D39)+$L$9+$L$11)*1.015+D43</f>
        <v>145.5105216170187</v>
      </c>
      <c r="E20" s="115">
        <f t="shared" si="1"/>
        <v>130.6089612972907</v>
      </c>
      <c r="F20" s="115">
        <f t="shared" si="1"/>
        <v>117.30754016672502</v>
      </c>
      <c r="G20" s="115">
        <f t="shared" si="1"/>
        <v>105.08432806477776</v>
      </c>
      <c r="H20" s="115">
        <f t="shared" si="1"/>
        <v>121.72836616172295</v>
      </c>
    </row>
    <row r="21" spans="2:14" ht="15" thickBot="1">
      <c r="B21" s="103" t="s">
        <v>32</v>
      </c>
      <c r="C21" s="116">
        <f>+(($C$7*C30+C35+$L$27+$L$28+$L$29+$L$30+$L$31)*(1+C40)+$L$9+$L$11)*1.015+C44</f>
        <v>203.14811107087598</v>
      </c>
      <c r="D21" s="116">
        <f t="shared" ref="D21:H21" si="2">+(($C$7*D30+D35+$L$27+$L$28+$L$29+$L$30+$L$31)*(1+D40)+$L$9+$L$11)*1.015+D44</f>
        <v>161.85579294461999</v>
      </c>
      <c r="E21" s="116">
        <f t="shared" si="2"/>
        <v>119.23546347243025</v>
      </c>
      <c r="F21" s="116">
        <f t="shared" si="2"/>
        <v>91.792577930067921</v>
      </c>
      <c r="G21" s="116">
        <f t="shared" si="2"/>
        <v>75.034229547064513</v>
      </c>
      <c r="H21" s="116">
        <f t="shared" si="2"/>
        <v>113.33465133374808</v>
      </c>
    </row>
    <row r="22" spans="2:14">
      <c r="B22" s="42" t="s">
        <v>27</v>
      </c>
    </row>
    <row r="24" spans="2:14" ht="15" thickBot="1"/>
    <row r="25" spans="2:14" ht="15" thickBot="1">
      <c r="B25" s="144" t="s">
        <v>24</v>
      </c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6"/>
    </row>
    <row r="26" spans="2:14" ht="13.5" customHeight="1" thickBot="1"/>
    <row r="27" spans="2:14" ht="15" thickBot="1">
      <c r="C27" s="136" t="s">
        <v>17</v>
      </c>
      <c r="D27" s="137"/>
      <c r="E27" s="137"/>
      <c r="F27" s="137"/>
      <c r="G27" s="137"/>
      <c r="H27" s="138"/>
      <c r="K27" s="43" t="s">
        <v>20</v>
      </c>
      <c r="L27" s="44">
        <v>22</v>
      </c>
      <c r="M27" s="45" t="s">
        <v>16</v>
      </c>
    </row>
    <row r="28" spans="2:14" ht="15" thickBot="1">
      <c r="B28" s="5" t="s">
        <v>0</v>
      </c>
      <c r="C28" s="6" t="s">
        <v>8</v>
      </c>
      <c r="D28" s="7" t="s">
        <v>9</v>
      </c>
      <c r="E28" s="7" t="s">
        <v>10</v>
      </c>
      <c r="F28" s="7" t="s">
        <v>11</v>
      </c>
      <c r="G28" s="7" t="s">
        <v>12</v>
      </c>
      <c r="H28" s="8" t="s">
        <v>13</v>
      </c>
      <c r="K28" s="46" t="s">
        <v>21</v>
      </c>
      <c r="L28" s="47">
        <v>4.07E-2</v>
      </c>
      <c r="M28" s="48" t="s">
        <v>16</v>
      </c>
    </row>
    <row r="29" spans="2:14">
      <c r="B29" s="9" t="s">
        <v>31</v>
      </c>
      <c r="C29" s="49">
        <v>1.0729863610136592</v>
      </c>
      <c r="D29" s="50">
        <v>0.92566860377319782</v>
      </c>
      <c r="E29" s="50">
        <v>0.92755531019409587</v>
      </c>
      <c r="F29" s="50">
        <v>0.85734656042300172</v>
      </c>
      <c r="G29" s="50">
        <v>0.78509258402616977</v>
      </c>
      <c r="H29" s="51">
        <v>0.9293278866335325</v>
      </c>
      <c r="K29" s="46" t="s">
        <v>22</v>
      </c>
      <c r="L29" s="52">
        <v>0.20332</v>
      </c>
      <c r="M29" s="48" t="s">
        <v>16</v>
      </c>
    </row>
    <row r="30" spans="2:14" ht="15" thickBot="1">
      <c r="B30" s="10" t="s">
        <v>32</v>
      </c>
      <c r="C30" s="53">
        <v>1.5769926907839855</v>
      </c>
      <c r="D30" s="54">
        <v>1.2441282704406056</v>
      </c>
      <c r="E30" s="54">
        <v>0.89634960402367159</v>
      </c>
      <c r="F30" s="54">
        <v>0.64304447683019395</v>
      </c>
      <c r="G30" s="54">
        <v>0.49207500535918108</v>
      </c>
      <c r="H30" s="55">
        <v>0.87872480462817582</v>
      </c>
      <c r="K30" s="46" t="s">
        <v>23</v>
      </c>
      <c r="L30" s="47">
        <v>0</v>
      </c>
      <c r="M30" s="48" t="s">
        <v>16</v>
      </c>
      <c r="N30" s="41"/>
    </row>
    <row r="31" spans="2:14" ht="13.5" customHeight="1" thickBot="1">
      <c r="K31" s="56" t="s">
        <v>35</v>
      </c>
      <c r="L31" s="57">
        <v>3.41</v>
      </c>
      <c r="M31" s="58" t="s">
        <v>16</v>
      </c>
      <c r="N31" s="134">
        <v>2028</v>
      </c>
    </row>
    <row r="32" spans="2:14" ht="15" thickBot="1">
      <c r="C32" s="136" t="s">
        <v>18</v>
      </c>
      <c r="D32" s="137"/>
      <c r="E32" s="137"/>
      <c r="F32" s="137"/>
      <c r="G32" s="137"/>
      <c r="H32" s="138"/>
    </row>
    <row r="33" spans="2:14" ht="15" thickBot="1">
      <c r="B33" s="5" t="s">
        <v>0</v>
      </c>
      <c r="C33" s="6" t="s">
        <v>8</v>
      </c>
      <c r="D33" s="7" t="s">
        <v>9</v>
      </c>
      <c r="E33" s="7" t="s">
        <v>10</v>
      </c>
      <c r="F33" s="7" t="s">
        <v>11</v>
      </c>
      <c r="G33" s="7" t="s">
        <v>12</v>
      </c>
      <c r="H33" s="8" t="s">
        <v>13</v>
      </c>
    </row>
    <row r="34" spans="2:14">
      <c r="B34" s="9" t="s">
        <v>31</v>
      </c>
      <c r="C34" s="49">
        <v>0.46500000000000002</v>
      </c>
      <c r="D34" s="50">
        <v>0.21299999999999999</v>
      </c>
      <c r="E34" s="50">
        <v>0.14200000000000002</v>
      </c>
      <c r="F34" s="50">
        <v>0.107</v>
      </c>
      <c r="G34" s="50">
        <v>0.107</v>
      </c>
      <c r="H34" s="51">
        <v>0</v>
      </c>
    </row>
    <row r="35" spans="2:14" ht="15" thickBot="1">
      <c r="B35" s="10" t="s">
        <v>32</v>
      </c>
      <c r="C35" s="53">
        <v>0.46500000000000002</v>
      </c>
      <c r="D35" s="54">
        <v>0.21299999999999999</v>
      </c>
      <c r="E35" s="54">
        <v>0.14200000000000002</v>
      </c>
      <c r="F35" s="54">
        <v>0.107</v>
      </c>
      <c r="G35" s="54">
        <v>0.107</v>
      </c>
      <c r="H35" s="55">
        <v>0</v>
      </c>
      <c r="N35" s="41"/>
    </row>
    <row r="36" spans="2:14" ht="15" thickBot="1"/>
    <row r="37" spans="2:14" ht="15" thickBot="1">
      <c r="C37" s="136" t="s">
        <v>19</v>
      </c>
      <c r="D37" s="137"/>
      <c r="E37" s="137"/>
      <c r="F37" s="137"/>
      <c r="G37" s="137"/>
      <c r="H37" s="138"/>
    </row>
    <row r="38" spans="2:14" ht="15" thickBot="1">
      <c r="B38" s="5" t="s">
        <v>0</v>
      </c>
      <c r="C38" s="6" t="s">
        <v>8</v>
      </c>
      <c r="D38" s="7" t="s">
        <v>9</v>
      </c>
      <c r="E38" s="7" t="s">
        <v>10</v>
      </c>
      <c r="F38" s="7" t="s">
        <v>11</v>
      </c>
      <c r="G38" s="7" t="s">
        <v>12</v>
      </c>
      <c r="H38" s="8" t="s">
        <v>13</v>
      </c>
    </row>
    <row r="39" spans="2:14">
      <c r="B39" s="9" t="s">
        <v>31</v>
      </c>
      <c r="C39" s="11">
        <v>6.5000000000000002E-2</v>
      </c>
      <c r="D39" s="12">
        <v>7.1999999999999995E-2</v>
      </c>
      <c r="E39" s="12">
        <v>6.0999999999999999E-2</v>
      </c>
      <c r="F39" s="12">
        <v>5.8999999999999997E-2</v>
      </c>
      <c r="G39" s="12">
        <v>4.7E-2</v>
      </c>
      <c r="H39" s="13">
        <v>8.3000000000000004E-2</v>
      </c>
    </row>
    <row r="40" spans="2:14" ht="15" thickBot="1">
      <c r="B40" s="10" t="s">
        <v>32</v>
      </c>
      <c r="C40" s="14">
        <v>5.0999999999999997E-2</v>
      </c>
      <c r="D40" s="15">
        <v>5.7000000000000002E-2</v>
      </c>
      <c r="E40" s="15">
        <v>4.5999999999999999E-2</v>
      </c>
      <c r="F40" s="15">
        <v>4.4999999999999998E-2</v>
      </c>
      <c r="G40" s="15">
        <v>3.7999999999999999E-2</v>
      </c>
      <c r="H40" s="16">
        <v>5.8999999999999997E-2</v>
      </c>
    </row>
    <row r="41" spans="2:14" ht="15" thickBot="1"/>
    <row r="42" spans="2:14" ht="15" thickBot="1">
      <c r="C42" s="136" t="s">
        <v>30</v>
      </c>
      <c r="D42" s="137"/>
      <c r="E42" s="137"/>
      <c r="F42" s="137"/>
      <c r="G42" s="137"/>
      <c r="H42" s="138"/>
    </row>
    <row r="43" spans="2:14">
      <c r="B43" s="9" t="s">
        <v>31</v>
      </c>
      <c r="C43" s="49">
        <v>46.273999999999994</v>
      </c>
      <c r="D43" s="50">
        <v>26.716999999999999</v>
      </c>
      <c r="E43" s="50">
        <v>12.928000000000001</v>
      </c>
      <c r="F43" s="50">
        <v>6.6779999999999999</v>
      </c>
      <c r="G43" s="50">
        <v>2.6189999999999998</v>
      </c>
      <c r="H43" s="51">
        <v>1.5880000000000001</v>
      </c>
    </row>
    <row r="44" spans="2:14" ht="15" thickBot="1">
      <c r="B44" s="10" t="s">
        <v>32</v>
      </c>
      <c r="C44" s="53">
        <v>23.88</v>
      </c>
      <c r="D44" s="54">
        <v>13.975000000000001</v>
      </c>
      <c r="E44" s="54">
        <v>6.2</v>
      </c>
      <c r="F44" s="54">
        <v>3.0829999999999997</v>
      </c>
      <c r="G44" s="54">
        <v>1.234</v>
      </c>
      <c r="H44" s="55">
        <v>0.75200000000000011</v>
      </c>
    </row>
    <row r="45" spans="2:14" ht="15" thickBot="1"/>
    <row r="46" spans="2:14" ht="15" thickBot="1">
      <c r="C46" s="136" t="s">
        <v>33</v>
      </c>
      <c r="D46" s="137"/>
      <c r="E46" s="137"/>
      <c r="F46" s="137"/>
      <c r="G46" s="137"/>
      <c r="H46" s="138"/>
    </row>
    <row r="47" spans="2:14">
      <c r="B47" s="9" t="s">
        <v>31</v>
      </c>
      <c r="C47" s="59">
        <v>29.595367999999997</v>
      </c>
      <c r="D47" s="60">
        <v>15.514709</v>
      </c>
      <c r="E47" s="60">
        <v>6.8018809999999998</v>
      </c>
      <c r="F47" s="60">
        <v>5.3938290000000002</v>
      </c>
      <c r="G47" s="60">
        <v>2.1251129999999998</v>
      </c>
      <c r="H47" s="61">
        <v>1.004181</v>
      </c>
    </row>
    <row r="48" spans="2:14" ht="15" thickBot="1">
      <c r="B48" s="10" t="s">
        <v>32</v>
      </c>
      <c r="C48" s="62">
        <v>20.103588000000002</v>
      </c>
      <c r="D48" s="63">
        <v>11.115667999999999</v>
      </c>
      <c r="E48" s="63">
        <v>3.7091129999999999</v>
      </c>
      <c r="F48" s="63">
        <v>2.7281520000000001</v>
      </c>
      <c r="G48" s="63">
        <v>1.265617</v>
      </c>
      <c r="H48" s="64">
        <v>0.60538100000000006</v>
      </c>
    </row>
    <row r="51" spans="9:9">
      <c r="I51" t="s">
        <v>75</v>
      </c>
    </row>
  </sheetData>
  <sheetProtection algorithmName="SHA-512" hashValue="UE6RIcLb5tGx2RDyHjYs19FrEGyOiRZkpbzgEiwTNIzLppI3CAvLuyvqxTRRI9URR/h5BKrbNEW9Tr78b7CZ8g==" saltValue="mQ0PnxmEMzVmP5QCyqDOUw==" spinCount="100000" sheet="1" objects="1" scenarios="1"/>
  <mergeCells count="12">
    <mergeCell ref="B1:N1"/>
    <mergeCell ref="C42:H42"/>
    <mergeCell ref="C46:H46"/>
    <mergeCell ref="C32:H32"/>
    <mergeCell ref="C37:H37"/>
    <mergeCell ref="B3:H3"/>
    <mergeCell ref="C27:H27"/>
    <mergeCell ref="C13:H13"/>
    <mergeCell ref="B5:H5"/>
    <mergeCell ref="B25:N25"/>
    <mergeCell ref="C18:H18"/>
    <mergeCell ref="K8:M8"/>
  </mergeCells>
  <phoneticPr fontId="10" type="noConversion"/>
  <pageMargins left="0.7" right="0.7" top="0.75" bottom="0.75" header="0.3" footer="0.3"/>
  <pageSetup paperSize="9" scale="55" fitToHeight="0" orientation="portrait" r:id="rId1"/>
  <rowBreaks count="1" manualBreakCount="1">
    <brk id="22" max="16383" man="1"/>
  </rowBreaks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D00"/>
    <pageSetUpPr fitToPage="1"/>
  </sheetPr>
  <dimension ref="B1:I34"/>
  <sheetViews>
    <sheetView showGridLines="0" topLeftCell="A18" workbookViewId="0">
      <selection activeCell="H32" sqref="H32"/>
    </sheetView>
  </sheetViews>
  <sheetFormatPr baseColWidth="10" defaultColWidth="11.44140625" defaultRowHeight="14.4"/>
  <cols>
    <col min="1" max="1" width="3.33203125" style="1" customWidth="1"/>
    <col min="2" max="2" width="11.44140625" style="1"/>
    <col min="3" max="8" width="16.6640625" style="1" customWidth="1"/>
    <col min="9" max="16384" width="11.44140625" style="1"/>
  </cols>
  <sheetData>
    <row r="1" spans="2:9" ht="33" customHeight="1">
      <c r="B1" s="149" t="s">
        <v>77</v>
      </c>
      <c r="C1" s="149"/>
      <c r="D1" s="149"/>
      <c r="E1" s="149"/>
      <c r="F1" s="149"/>
      <c r="G1" s="149"/>
      <c r="H1" s="149"/>
    </row>
    <row r="2" spans="2:9" ht="15" thickBot="1"/>
    <row r="3" spans="2:9" s="65" customFormat="1" ht="30.75" customHeight="1" thickBot="1">
      <c r="B3" s="147" t="s">
        <v>40</v>
      </c>
      <c r="C3" s="148"/>
      <c r="H3" s="66"/>
    </row>
    <row r="4" spans="2:9">
      <c r="H4" s="67"/>
    </row>
    <row r="5" spans="2:9" s="65" customFormat="1" ht="15.6">
      <c r="B5" s="79" t="s">
        <v>66</v>
      </c>
      <c r="C5" s="79"/>
      <c r="D5" s="80"/>
      <c r="E5" s="80"/>
      <c r="F5" s="80"/>
      <c r="G5" s="80"/>
      <c r="H5" s="126"/>
    </row>
    <row r="6" spans="2:9" s="65" customFormat="1" ht="10.95" customHeight="1" thickBot="1">
      <c r="B6" s="2"/>
      <c r="C6" s="2"/>
      <c r="G6" s="68"/>
    </row>
    <row r="7" spans="2:9" ht="16.2" thickBot="1">
      <c r="B7" s="81" t="s">
        <v>43</v>
      </c>
    </row>
    <row r="8" spans="2:9" ht="31.2" customHeight="1" thickBot="1">
      <c r="B8" s="82" t="s">
        <v>0</v>
      </c>
      <c r="C8" s="112" t="s">
        <v>62</v>
      </c>
      <c r="D8" s="85" t="s">
        <v>36</v>
      </c>
      <c r="E8" s="86" t="s">
        <v>37</v>
      </c>
      <c r="F8" s="86" t="s">
        <v>38</v>
      </c>
      <c r="G8" s="86" t="s">
        <v>39</v>
      </c>
      <c r="H8" s="82" t="s">
        <v>34</v>
      </c>
      <c r="I8" s="69"/>
    </row>
    <row r="9" spans="2:9">
      <c r="B9" s="83" t="s">
        <v>31</v>
      </c>
      <c r="C9" s="113">
        <f>'Datos CONSUMOS'!I6</f>
        <v>4916945.8284437889</v>
      </c>
      <c r="D9" s="70" t="str">
        <f>IF(COUNTA('ANEXO IX B - coeficientes'!$L$9:$L$10)=2,SUMPRODUCT('ANEXO IX B - coeficientes'!C15:H15,'Datos CONSUMOS'!C6:H6)/1000,"-")</f>
        <v>-</v>
      </c>
      <c r="E9" s="71">
        <f>+'Coste por CUPS'!R4+'Coste por CUPS'!R5+'Coste por CUPS'!R6</f>
        <v>272863.73513400002</v>
      </c>
      <c r="F9" s="71">
        <f>+'Coste por CUPS'!S4+'Coste por CUPS'!S5+'Coste por CUPS'!S6</f>
        <v>2385.46</v>
      </c>
      <c r="G9" s="71" t="str">
        <f>IF($D$9="-","-",(D9+E9+F9)*0.051127)</f>
        <v>-</v>
      </c>
      <c r="H9" s="72" t="str">
        <f>IF($D$9="-","-",SUM(D9:G9))</f>
        <v>-</v>
      </c>
    </row>
    <row r="10" spans="2:9" ht="15" thickBot="1">
      <c r="B10" s="84" t="s">
        <v>32</v>
      </c>
      <c r="C10" s="114">
        <f>'Datos CONSUMOS'!I7</f>
        <v>14942350.0707504</v>
      </c>
      <c r="D10" s="77" t="str">
        <f>IF(COUNTA('ANEXO IX B - coeficientes'!$L$9:$L$10)=2,SUMPRODUCT('ANEXO IX B - coeficientes'!C16:H16,'Datos CONSUMOS'!C7:H7)/1000,"-")</f>
        <v>-</v>
      </c>
      <c r="E10" s="73">
        <f>+'Coste por CUPS'!R3</f>
        <v>367407.86656500003</v>
      </c>
      <c r="F10" s="73">
        <f>+'Coste por CUPS'!S3</f>
        <v>30268.49</v>
      </c>
      <c r="G10" s="73" t="str">
        <f>IF($D$10="-","-",(D10+E10+F10)*0.051127)</f>
        <v>-</v>
      </c>
      <c r="H10" s="74" t="str">
        <f>IF($D$10="-","-",SUM(D10:G10))</f>
        <v>-</v>
      </c>
    </row>
    <row r="11" spans="2:9" ht="8.25" customHeight="1" thickBot="1">
      <c r="E11" s="75"/>
      <c r="H11" s="75"/>
    </row>
    <row r="12" spans="2:9" ht="15" thickBot="1">
      <c r="B12" s="76" t="s">
        <v>41</v>
      </c>
      <c r="G12" s="87" t="s">
        <v>7</v>
      </c>
      <c r="H12" s="88" t="str">
        <f>IF(COUNT(H9:H10)=2,SUM(H9:H10),"-")</f>
        <v>-</v>
      </c>
    </row>
    <row r="13" spans="2:9" customFormat="1" ht="9.75" customHeight="1">
      <c r="E13" s="1"/>
      <c r="H13" s="1"/>
    </row>
    <row r="15" spans="2:9" s="65" customFormat="1" ht="15.6">
      <c r="B15" s="79" t="s">
        <v>67</v>
      </c>
      <c r="C15" s="79"/>
      <c r="D15" s="80"/>
      <c r="E15" s="80"/>
      <c r="F15" s="80"/>
      <c r="G15" s="80"/>
      <c r="H15" s="126"/>
    </row>
    <row r="16" spans="2:9" s="65" customFormat="1" ht="10.95" customHeight="1" thickBot="1">
      <c r="B16" s="2"/>
      <c r="C16" s="2"/>
      <c r="G16" s="68"/>
    </row>
    <row r="17" spans="2:9" ht="16.2" thickBot="1">
      <c r="B17" s="81" t="s">
        <v>43</v>
      </c>
    </row>
    <row r="18" spans="2:9" ht="31.2" customHeight="1" thickBot="1">
      <c r="B18" s="82" t="s">
        <v>0</v>
      </c>
      <c r="C18" s="112" t="s">
        <v>62</v>
      </c>
      <c r="D18" s="85" t="s">
        <v>36</v>
      </c>
      <c r="E18" s="86" t="s">
        <v>37</v>
      </c>
      <c r="F18" s="86" t="s">
        <v>38</v>
      </c>
      <c r="G18" s="86" t="s">
        <v>39</v>
      </c>
      <c r="H18" s="82" t="s">
        <v>34</v>
      </c>
      <c r="I18" s="69"/>
    </row>
    <row r="19" spans="2:9" ht="15" thickBot="1">
      <c r="B19" s="83" t="s">
        <v>31</v>
      </c>
      <c r="C19" s="113">
        <f>+C9</f>
        <v>4916945.8284437889</v>
      </c>
      <c r="D19" s="70" t="str">
        <f>IF(COUNTA('ANEXO IX B - coeficientes'!$L$9:$L$10)=2,SUMPRODUCT('ANEXO IX B - coeficientes'!C20:H20,'Datos CONSUMOS'!C6:H6)/1000,"-")</f>
        <v>-</v>
      </c>
      <c r="E19" s="71">
        <f>+E9</f>
        <v>272863.73513400002</v>
      </c>
      <c r="F19" s="71">
        <f>+F9</f>
        <v>2385.46</v>
      </c>
      <c r="G19" s="71" t="str">
        <f>IF($D$9="-","-",(D19+E19+F19)*0.051127)</f>
        <v>-</v>
      </c>
      <c r="H19" s="72" t="str">
        <f>IF($D$9="-","-",SUM(D19:G19))</f>
        <v>-</v>
      </c>
    </row>
    <row r="20" spans="2:9" ht="15" thickBot="1">
      <c r="B20" s="84" t="s">
        <v>32</v>
      </c>
      <c r="C20" s="113">
        <f>+C10</f>
        <v>14942350.0707504</v>
      </c>
      <c r="D20" s="70" t="str">
        <f>IF(COUNTA('ANEXO IX B - coeficientes'!$L$9:$L$10)=2,SUMPRODUCT('ANEXO IX B - coeficientes'!C21:H21,'Datos CONSUMOS'!C7:H7)/1000,"-")</f>
        <v>-</v>
      </c>
      <c r="E20" s="73" t="str">
        <f>IF($D$10="-","-",SUMPRODUCT('ANEXO IX B - coeficientes'!$C$48:$H$48,'Datos CONSUMOS'!$L$7:$Q$7))</f>
        <v>-</v>
      </c>
      <c r="F20" s="71">
        <f>+F10</f>
        <v>30268.49</v>
      </c>
      <c r="G20" s="73" t="str">
        <f>IF($D$10="-","-",(D20+E20+F20)*0.051127)</f>
        <v>-</v>
      </c>
      <c r="H20" s="74" t="str">
        <f>IF($D$10="-","-",SUM(D20:G20))</f>
        <v>-</v>
      </c>
    </row>
    <row r="21" spans="2:9" ht="8.25" customHeight="1" thickBot="1">
      <c r="E21" s="75"/>
      <c r="H21" s="75"/>
    </row>
    <row r="22" spans="2:9" ht="15" thickBot="1">
      <c r="B22" s="76" t="s">
        <v>41</v>
      </c>
      <c r="G22" s="87" t="s">
        <v>7</v>
      </c>
      <c r="H22" s="88" t="str">
        <f>IF(COUNT(H19:H20)=2,SUM(H19:H20),"-")</f>
        <v>-</v>
      </c>
    </row>
    <row r="23" spans="2:9" ht="15">
      <c r="F23" s="3"/>
      <c r="G23" s="78"/>
    </row>
    <row r="25" spans="2:9" s="65" customFormat="1" ht="15.6">
      <c r="B25" s="79" t="s">
        <v>72</v>
      </c>
      <c r="C25" s="79"/>
      <c r="D25" s="80"/>
      <c r="E25" s="80"/>
      <c r="F25" s="80"/>
      <c r="G25" s="80"/>
      <c r="H25" s="126"/>
    </row>
    <row r="26" spans="2:9" s="65" customFormat="1" ht="10.95" customHeight="1" thickBot="1">
      <c r="B26" s="2"/>
      <c r="C26" s="2"/>
      <c r="G26" s="68"/>
    </row>
    <row r="27" spans="2:9" ht="16.2" thickBot="1">
      <c r="B27" s="81" t="s">
        <v>43</v>
      </c>
    </row>
    <row r="28" spans="2:9" ht="31.2" customHeight="1" thickBot="1">
      <c r="B28" s="82" t="s">
        <v>0</v>
      </c>
      <c r="C28" s="112" t="s">
        <v>62</v>
      </c>
      <c r="D28" s="85" t="s">
        <v>36</v>
      </c>
      <c r="E28" s="86" t="s">
        <v>37</v>
      </c>
      <c r="F28" s="86" t="s">
        <v>38</v>
      </c>
      <c r="G28" s="86" t="s">
        <v>39</v>
      </c>
      <c r="H28" s="82" t="s">
        <v>34</v>
      </c>
      <c r="I28" s="69"/>
    </row>
    <row r="29" spans="2:9" ht="15" thickBot="1">
      <c r="B29" s="83" t="s">
        <v>31</v>
      </c>
      <c r="C29" s="113">
        <f t="shared" ref="C29:H30" si="0">+C9+C19</f>
        <v>9833891.6568875778</v>
      </c>
      <c r="D29" s="70" t="e">
        <f t="shared" si="0"/>
        <v>#VALUE!</v>
      </c>
      <c r="E29" s="71">
        <f t="shared" si="0"/>
        <v>545727.47026800003</v>
      </c>
      <c r="F29" s="71">
        <f t="shared" si="0"/>
        <v>4770.92</v>
      </c>
      <c r="G29" s="71" t="e">
        <f t="shared" si="0"/>
        <v>#VALUE!</v>
      </c>
      <c r="H29" s="72" t="e">
        <f t="shared" si="0"/>
        <v>#VALUE!</v>
      </c>
    </row>
    <row r="30" spans="2:9" ht="15" thickBot="1">
      <c r="B30" s="84" t="s">
        <v>32</v>
      </c>
      <c r="C30" s="113">
        <f t="shared" si="0"/>
        <v>29884700.141500801</v>
      </c>
      <c r="D30" s="70" t="e">
        <f t="shared" si="0"/>
        <v>#VALUE!</v>
      </c>
      <c r="E30" s="71" t="e">
        <f t="shared" si="0"/>
        <v>#VALUE!</v>
      </c>
      <c r="F30" s="71">
        <f t="shared" si="0"/>
        <v>60536.98</v>
      </c>
      <c r="G30" s="71" t="e">
        <f t="shared" si="0"/>
        <v>#VALUE!</v>
      </c>
      <c r="H30" s="72" t="e">
        <f t="shared" si="0"/>
        <v>#VALUE!</v>
      </c>
    </row>
    <row r="31" spans="2:9" ht="8.25" customHeight="1" thickBot="1">
      <c r="E31" s="75"/>
      <c r="H31" s="75"/>
    </row>
    <row r="32" spans="2:9" ht="75" customHeight="1" thickBot="1">
      <c r="B32" s="76" t="s">
        <v>41</v>
      </c>
      <c r="G32" s="155" t="s">
        <v>78</v>
      </c>
      <c r="H32" s="156" t="e">
        <f>+H29+H30</f>
        <v>#VALUE!</v>
      </c>
    </row>
    <row r="34" spans="7:7">
      <c r="G34" s="1" t="s">
        <v>76</v>
      </c>
    </row>
  </sheetData>
  <sheetProtection algorithmName="SHA-512" hashValue="YyOUn3GC1fyH2mtPtgW9hGzG2ZmJ6/cVmhFr5rywjf6qSGY2sJC61Y8UZlLzm/fa84VLPNwhkRjAoGwAEW/tQA==" saltValue="uV0qPEP1QHSpqkhyqOmRgA==" spinCount="100000" sheet="1" objects="1" scenarios="1"/>
  <mergeCells count="2">
    <mergeCell ref="B3:C3"/>
    <mergeCell ref="B1:H1"/>
  </mergeCells>
  <phoneticPr fontId="10" type="noConversion"/>
  <pageMargins left="0.7" right="0.7" top="0.75" bottom="0.75" header="0.3" footer="0.3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1" tint="0.499984740745262"/>
    <pageSetUpPr fitToPage="1"/>
  </sheetPr>
  <dimension ref="B1:X12"/>
  <sheetViews>
    <sheetView showGridLines="0" workbookViewId="0">
      <selection activeCell="G10" sqref="G10"/>
    </sheetView>
  </sheetViews>
  <sheetFormatPr baseColWidth="10" defaultRowHeight="14.4"/>
  <cols>
    <col min="1" max="1" width="3.6640625" customWidth="1"/>
    <col min="9" max="9" width="13" bestFit="1" customWidth="1"/>
    <col min="10" max="10" width="5.44140625" customWidth="1"/>
    <col min="17" max="17" width="13" bestFit="1" customWidth="1"/>
  </cols>
  <sheetData>
    <row r="1" spans="2:24" ht="15" thickBot="1">
      <c r="B1" s="4"/>
    </row>
    <row r="2" spans="2:24" s="17" customFormat="1" ht="15.6">
      <c r="B2" s="104" t="s">
        <v>42</v>
      </c>
      <c r="C2" s="105"/>
      <c r="D2" s="105"/>
      <c r="E2" s="105"/>
      <c r="F2" s="105"/>
      <c r="G2" s="105"/>
      <c r="H2" s="105"/>
      <c r="I2" s="105"/>
      <c r="J2" s="105"/>
      <c r="K2" s="105"/>
      <c r="L2" s="106"/>
      <c r="M2" s="106"/>
      <c r="N2" s="106"/>
      <c r="O2" s="106"/>
      <c r="P2" s="106"/>
      <c r="Q2" s="106"/>
    </row>
    <row r="3" spans="2:24" s="1" customFormat="1" ht="21" customHeight="1" thickBot="1">
      <c r="B3" s="2"/>
    </row>
    <row r="4" spans="2:24" ht="15" thickBot="1">
      <c r="B4" s="107" t="s">
        <v>43</v>
      </c>
      <c r="C4" s="150" t="s">
        <v>25</v>
      </c>
      <c r="D4" s="151"/>
      <c r="E4" s="151"/>
      <c r="F4" s="151"/>
      <c r="G4" s="151"/>
      <c r="H4" s="152"/>
      <c r="K4" s="1"/>
      <c r="L4" s="150" t="s">
        <v>26</v>
      </c>
      <c r="M4" s="151"/>
      <c r="N4" s="151"/>
      <c r="O4" s="151"/>
      <c r="P4" s="151"/>
      <c r="Q4" s="152"/>
    </row>
    <row r="5" spans="2:24" ht="15" thickBot="1">
      <c r="B5" s="18" t="s">
        <v>0</v>
      </c>
      <c r="C5" s="6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8" t="s">
        <v>6</v>
      </c>
      <c r="I5" s="19" t="s">
        <v>7</v>
      </c>
      <c r="K5" s="18" t="s">
        <v>0</v>
      </c>
      <c r="L5" s="6" t="s">
        <v>1</v>
      </c>
      <c r="M5" s="7" t="s">
        <v>2</v>
      </c>
      <c r="N5" s="7" t="s">
        <v>3</v>
      </c>
      <c r="O5" s="7" t="s">
        <v>4</v>
      </c>
      <c r="P5" s="7" t="s">
        <v>5</v>
      </c>
      <c r="Q5" s="8" t="s">
        <v>6</v>
      </c>
    </row>
    <row r="6" spans="2:24">
      <c r="B6" s="9" t="s">
        <v>31</v>
      </c>
      <c r="C6" s="20">
        <v>494486.30880352505</v>
      </c>
      <c r="D6" s="21">
        <v>588235.20065718889</v>
      </c>
      <c r="E6" s="21">
        <v>559748.28688685549</v>
      </c>
      <c r="F6" s="21">
        <v>774126.98346038884</v>
      </c>
      <c r="G6" s="21">
        <v>342735.69969921943</v>
      </c>
      <c r="H6" s="22">
        <v>2157613.3489366113</v>
      </c>
      <c r="I6" s="23">
        <f t="shared" ref="I6:I8" si="0">SUM(C6:H6)</f>
        <v>4916945.8284437889</v>
      </c>
      <c r="K6" s="9" t="s">
        <v>31</v>
      </c>
      <c r="L6" s="20">
        <v>5330</v>
      </c>
      <c r="M6" s="21">
        <v>5330</v>
      </c>
      <c r="N6" s="21">
        <v>5450</v>
      </c>
      <c r="O6" s="21">
        <v>5450</v>
      </c>
      <c r="P6" s="21">
        <v>5450</v>
      </c>
      <c r="Q6" s="22">
        <v>11754</v>
      </c>
    </row>
    <row r="7" spans="2:24" ht="15" thickBot="1">
      <c r="B7" s="24" t="s">
        <v>32</v>
      </c>
      <c r="C7" s="25">
        <v>1606002.8662667791</v>
      </c>
      <c r="D7" s="26">
        <v>2109340.6448785351</v>
      </c>
      <c r="E7" s="26">
        <v>1519702.8514612885</v>
      </c>
      <c r="F7" s="26">
        <v>1741235.0599816523</v>
      </c>
      <c r="G7" s="26">
        <v>876838.19545338978</v>
      </c>
      <c r="H7" s="27">
        <v>7089230.4527087566</v>
      </c>
      <c r="I7" s="28">
        <f t="shared" si="0"/>
        <v>14942350.0707504</v>
      </c>
      <c r="K7" s="10" t="s">
        <v>32</v>
      </c>
      <c r="L7" s="29">
        <v>9279</v>
      </c>
      <c r="M7" s="30">
        <v>9279</v>
      </c>
      <c r="N7" s="30">
        <v>9279</v>
      </c>
      <c r="O7" s="30">
        <v>9279</v>
      </c>
      <c r="P7" s="30">
        <v>9279</v>
      </c>
      <c r="Q7" s="31">
        <v>10323</v>
      </c>
    </row>
    <row r="8" spans="2:24" s="4" customFormat="1" ht="15" thickBot="1">
      <c r="B8" s="5" t="s">
        <v>7</v>
      </c>
      <c r="C8" s="32">
        <f t="shared" ref="C8:H8" si="1">SUM(C6:C7)</f>
        <v>2100489.1750703044</v>
      </c>
      <c r="D8" s="33">
        <f t="shared" si="1"/>
        <v>2697575.845535724</v>
      </c>
      <c r="E8" s="33">
        <f t="shared" si="1"/>
        <v>2079451.138348144</v>
      </c>
      <c r="F8" s="33">
        <f t="shared" si="1"/>
        <v>2515362.0434420411</v>
      </c>
      <c r="G8" s="33">
        <f t="shared" si="1"/>
        <v>1219573.8951526093</v>
      </c>
      <c r="H8" s="34">
        <f t="shared" si="1"/>
        <v>9246843.8016453683</v>
      </c>
      <c r="I8" s="35">
        <f t="shared" si="0"/>
        <v>19859295.899194188</v>
      </c>
    </row>
    <row r="9" spans="2:24">
      <c r="D9" s="36"/>
      <c r="E9" s="36"/>
      <c r="F9" s="36"/>
      <c r="G9" s="36"/>
      <c r="H9" s="36"/>
      <c r="I9" s="36"/>
      <c r="K9" s="36"/>
      <c r="L9" s="36"/>
      <c r="M9" s="36"/>
      <c r="N9" s="36"/>
      <c r="O9" s="36"/>
      <c r="P9" s="36"/>
    </row>
    <row r="10" spans="2:24" s="4" customFormat="1">
      <c r="B10" s="3"/>
      <c r="C10" s="37"/>
      <c r="D10" s="37"/>
      <c r="E10" s="37"/>
      <c r="F10" s="37"/>
      <c r="G10" s="37"/>
      <c r="H10" s="37"/>
      <c r="I10" s="37"/>
      <c r="J10" s="37"/>
      <c r="K10" s="37"/>
      <c r="S10" s="36"/>
      <c r="T10" s="36"/>
      <c r="U10" s="36"/>
      <c r="V10" s="36"/>
      <c r="W10" s="36"/>
      <c r="X10" s="36"/>
    </row>
    <row r="11" spans="2:24" s="4" customFormat="1">
      <c r="B11" s="3"/>
      <c r="C11" s="37"/>
      <c r="D11" s="37"/>
      <c r="K11" s="38"/>
      <c r="L11" s="39"/>
      <c r="M11" s="39"/>
      <c r="N11" s="39"/>
      <c r="O11" s="39"/>
      <c r="P11" s="39"/>
      <c r="S11" s="36"/>
      <c r="T11" s="36"/>
      <c r="U11" s="36"/>
      <c r="V11" s="36"/>
      <c r="W11" s="36"/>
      <c r="X11" s="36"/>
    </row>
    <row r="12" spans="2:24">
      <c r="D12" s="36"/>
      <c r="E12" s="36"/>
      <c r="K12" s="38"/>
      <c r="L12" s="39"/>
      <c r="M12" s="39"/>
      <c r="N12" s="39"/>
      <c r="O12" s="39"/>
      <c r="P12" s="39"/>
    </row>
  </sheetData>
  <sheetProtection algorithmName="SHA-512" hashValue="cPTLmcBFX0XDu9QeHhdbGDp2E3owv3msXEAGpSZg6XF5r9hpaFjYl9Vdj9q+VIlRCIk53umO35mPNT/UULR9kg==" saltValue="ZFvs+uSigaMBDZyF5JtWcw==" spinCount="100000" sheet="1" objects="1" scenarios="1"/>
  <mergeCells count="2">
    <mergeCell ref="L4:Q4"/>
    <mergeCell ref="C4:H4"/>
  </mergeCells>
  <phoneticPr fontId="10" type="noConversion"/>
  <pageMargins left="0.70866141732283472" right="0.70866141732283472" top="0.39370078740157483" bottom="0.19685039370078741" header="0.31496062992125984" footer="0.31496062992125984"/>
  <pageSetup paperSize="9" scale="70" orientation="landscape" r:id="rId1"/>
  <ignoredErrors>
    <ignoredError sqref="I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CB971-5F62-41F3-8F82-88420CB10902}">
  <sheetPr>
    <pageSetUpPr fitToPage="1"/>
  </sheetPr>
  <dimension ref="A1:U17"/>
  <sheetViews>
    <sheetView showGridLines="0" zoomScale="80" zoomScaleNormal="80" workbookViewId="0">
      <selection activeCell="J23" sqref="J23"/>
    </sheetView>
  </sheetViews>
  <sheetFormatPr baseColWidth="10" defaultRowHeight="14.4"/>
  <cols>
    <col min="1" max="1" width="21.88671875" bestFit="1" customWidth="1"/>
    <col min="2" max="2" width="23.33203125" bestFit="1" customWidth="1"/>
    <col min="3" max="3" width="6.33203125" bestFit="1" customWidth="1"/>
    <col min="4" max="4" width="9.5546875" bestFit="1" customWidth="1"/>
    <col min="5" max="5" width="11" bestFit="1" customWidth="1"/>
    <col min="6" max="6" width="9.5546875" bestFit="1" customWidth="1"/>
    <col min="7" max="7" width="12.33203125" customWidth="1"/>
    <col min="8" max="8" width="9.5546875" bestFit="1" customWidth="1"/>
    <col min="9" max="10" width="13.109375" bestFit="1" customWidth="1"/>
    <col min="11" max="11" width="15" bestFit="1" customWidth="1"/>
    <col min="12" max="12" width="17.5546875" bestFit="1" customWidth="1"/>
    <col min="13" max="13" width="10.5546875" bestFit="1" customWidth="1"/>
    <col min="14" max="14" width="11.6640625" bestFit="1" customWidth="1"/>
    <col min="15" max="15" width="12" bestFit="1" customWidth="1"/>
    <col min="16" max="16" width="14" customWidth="1"/>
    <col min="17" max="17" width="14.109375" bestFit="1" customWidth="1"/>
    <col min="18" max="18" width="14.88671875" customWidth="1"/>
    <col min="19" max="19" width="12.88671875" bestFit="1" customWidth="1"/>
    <col min="20" max="20" width="18.33203125" customWidth="1"/>
    <col min="21" max="21" width="15.109375" bestFit="1" customWidth="1"/>
  </cols>
  <sheetData>
    <row r="1" spans="1:21">
      <c r="D1" s="153" t="s">
        <v>61</v>
      </c>
      <c r="E1" s="153"/>
      <c r="F1" s="153"/>
      <c r="G1" s="153"/>
      <c r="H1" s="153"/>
      <c r="I1" s="153"/>
      <c r="J1" s="154" t="s">
        <v>60</v>
      </c>
      <c r="K1" s="154"/>
      <c r="L1" s="154"/>
      <c r="M1" s="154"/>
      <c r="N1" s="154"/>
      <c r="O1" s="154"/>
      <c r="P1" s="154"/>
    </row>
    <row r="2" spans="1:21">
      <c r="A2" s="118" t="s">
        <v>44</v>
      </c>
      <c r="B2" s="118" t="s">
        <v>45</v>
      </c>
      <c r="C2" s="118" t="s">
        <v>53</v>
      </c>
      <c r="D2" s="119" t="s">
        <v>54</v>
      </c>
      <c r="E2" s="119" t="s">
        <v>55</v>
      </c>
      <c r="F2" s="119" t="s">
        <v>56</v>
      </c>
      <c r="G2" s="119" t="s">
        <v>57</v>
      </c>
      <c r="H2" s="119" t="s">
        <v>58</v>
      </c>
      <c r="I2" s="119" t="s">
        <v>59</v>
      </c>
      <c r="J2" s="120" t="s">
        <v>54</v>
      </c>
      <c r="K2" s="120" t="s">
        <v>55</v>
      </c>
      <c r="L2" s="120" t="s">
        <v>56</v>
      </c>
      <c r="M2" s="120" t="s">
        <v>57</v>
      </c>
      <c r="N2" s="120" t="s">
        <v>58</v>
      </c>
      <c r="O2" s="120" t="s">
        <v>59</v>
      </c>
      <c r="P2" s="120" t="s">
        <v>7</v>
      </c>
      <c r="Q2" s="109" t="s">
        <v>36</v>
      </c>
      <c r="R2" s="109" t="s">
        <v>37</v>
      </c>
      <c r="S2" s="109" t="s">
        <v>38</v>
      </c>
      <c r="T2" s="109" t="s">
        <v>39</v>
      </c>
      <c r="U2" s="110" t="s">
        <v>70</v>
      </c>
    </row>
    <row r="3" spans="1:21">
      <c r="A3" s="121" t="s">
        <v>46</v>
      </c>
      <c r="B3" s="121" t="s">
        <v>47</v>
      </c>
      <c r="C3" s="121" t="s">
        <v>32</v>
      </c>
      <c r="D3" s="122">
        <v>9279</v>
      </c>
      <c r="E3" s="122">
        <v>9279</v>
      </c>
      <c r="F3" s="122">
        <v>9279</v>
      </c>
      <c r="G3" s="122">
        <v>9279</v>
      </c>
      <c r="H3" s="122">
        <v>9279</v>
      </c>
      <c r="I3" s="122">
        <v>10323</v>
      </c>
      <c r="J3" s="123">
        <v>1606002.8662667791</v>
      </c>
      <c r="K3" s="123">
        <v>2109340.6448785351</v>
      </c>
      <c r="L3" s="123">
        <v>1519702.8514612885</v>
      </c>
      <c r="M3" s="123">
        <v>1741235.0599816523</v>
      </c>
      <c r="N3" s="123">
        <v>876838.19545338978</v>
      </c>
      <c r="O3" s="123">
        <v>7089230.4527087566</v>
      </c>
      <c r="P3" s="124">
        <f>SUM(J3:O3)</f>
        <v>14942350.0707504</v>
      </c>
      <c r="Q3" s="108">
        <f>SUMPRODUCT('ANEXO IX B - coeficientes'!C16:H16,J3:O3)/1000</f>
        <v>1877948.7201115526</v>
      </c>
      <c r="R3" s="108">
        <f>SUMPRODUCT('ANEXO IX B - coeficientes'!$C$48:$H$48,D3:I3)</f>
        <v>367407.86656500003</v>
      </c>
      <c r="S3" s="108">
        <v>30268.49</v>
      </c>
      <c r="T3" s="108">
        <f>SUM(Q3:S3)*0.051127</f>
        <v>116345.88329524212</v>
      </c>
      <c r="U3" s="108">
        <f>SUM(Q3:T3)</f>
        <v>2391970.9599717953</v>
      </c>
    </row>
    <row r="4" spans="1:21">
      <c r="A4" s="121" t="s">
        <v>48</v>
      </c>
      <c r="B4" s="121" t="s">
        <v>63</v>
      </c>
      <c r="C4" s="121" t="s">
        <v>31</v>
      </c>
      <c r="D4" s="122">
        <v>1848</v>
      </c>
      <c r="E4" s="122">
        <v>1848</v>
      </c>
      <c r="F4" s="122">
        <v>1848</v>
      </c>
      <c r="G4" s="122">
        <v>1848</v>
      </c>
      <c r="H4" s="122">
        <v>1848</v>
      </c>
      <c r="I4" s="122">
        <v>5000</v>
      </c>
      <c r="J4" s="123">
        <v>306179.62633439165</v>
      </c>
      <c r="K4" s="123">
        <v>339481.42902576667</v>
      </c>
      <c r="L4" s="123">
        <v>301052.90773529717</v>
      </c>
      <c r="M4" s="123">
        <v>428270.59939389443</v>
      </c>
      <c r="N4" s="123">
        <v>195899.681140125</v>
      </c>
      <c r="O4" s="123">
        <v>1341565.7529926749</v>
      </c>
      <c r="P4" s="124">
        <f t="shared" ref="P4:P6" si="0">SUM(J4:O4)</f>
        <v>2912449.9966221498</v>
      </c>
      <c r="Q4" s="108">
        <f>SUMPRODUCT('ANEXO IX B - coeficientes'!$C$15:$H$15,J4:O4)/1000</f>
        <v>377624.73557984066</v>
      </c>
      <c r="R4" s="108">
        <f>SUMPRODUCT('ANEXO IX B - coeficientes'!$C$47:$H$47,D4:I4)</f>
        <v>114849.20820000001</v>
      </c>
      <c r="S4" s="108">
        <v>1638.49</v>
      </c>
      <c r="T4" s="108">
        <f t="shared" ref="T4:T6" si="1">SUM(Q4:S4)*0.051127</f>
        <v>25262.486401861912</v>
      </c>
      <c r="U4" s="108">
        <f>SUM(Q4:T4)</f>
        <v>519374.92018170259</v>
      </c>
    </row>
    <row r="5" spans="1:21">
      <c r="A5" s="121" t="s">
        <v>49</v>
      </c>
      <c r="B5" s="121" t="s">
        <v>50</v>
      </c>
      <c r="C5" s="121" t="s">
        <v>31</v>
      </c>
      <c r="D5" s="122">
        <v>1848</v>
      </c>
      <c r="E5" s="122">
        <v>1848</v>
      </c>
      <c r="F5" s="122">
        <v>1848</v>
      </c>
      <c r="G5" s="122">
        <v>1848</v>
      </c>
      <c r="H5" s="122">
        <v>1848</v>
      </c>
      <c r="I5" s="122">
        <v>5000</v>
      </c>
      <c r="J5" s="123">
        <v>0</v>
      </c>
      <c r="K5" s="123">
        <v>0</v>
      </c>
      <c r="L5" s="123">
        <v>0</v>
      </c>
      <c r="M5" s="123">
        <v>0</v>
      </c>
      <c r="N5" s="123">
        <v>0</v>
      </c>
      <c r="O5" s="123">
        <v>0</v>
      </c>
      <c r="P5" s="124">
        <f t="shared" si="0"/>
        <v>0</v>
      </c>
      <c r="Q5" s="108">
        <f>SUMPRODUCT('ANEXO IX B - coeficientes'!$C$15:$H$15,J5:O5)/1000</f>
        <v>0</v>
      </c>
      <c r="R5" s="108">
        <f>SUMPRODUCT('ANEXO IX B - coeficientes'!$C$47:$H$47,D5:I5)/2</f>
        <v>57424.604100000004</v>
      </c>
      <c r="S5" s="108">
        <v>350.48</v>
      </c>
      <c r="T5" s="108">
        <f>SUM(Q5:S5)*0.051127</f>
        <v>2953.8667247807002</v>
      </c>
      <c r="U5" s="108">
        <f>SUM(Q5:T5)</f>
        <v>60728.95082478071</v>
      </c>
    </row>
    <row r="6" spans="1:21">
      <c r="A6" s="125" t="s">
        <v>51</v>
      </c>
      <c r="B6" s="121" t="s">
        <v>52</v>
      </c>
      <c r="C6" s="121" t="s">
        <v>31</v>
      </c>
      <c r="D6" s="122">
        <v>1634</v>
      </c>
      <c r="E6" s="122">
        <v>1634</v>
      </c>
      <c r="F6" s="122">
        <v>1754</v>
      </c>
      <c r="G6" s="122">
        <v>1754</v>
      </c>
      <c r="H6" s="122">
        <v>1754</v>
      </c>
      <c r="I6" s="122">
        <v>1754</v>
      </c>
      <c r="J6" s="123">
        <v>188306.68246913335</v>
      </c>
      <c r="K6" s="123">
        <v>248753.77163142222</v>
      </c>
      <c r="L6" s="123">
        <v>258695.37915155833</v>
      </c>
      <c r="M6" s="123">
        <v>345856.38406649447</v>
      </c>
      <c r="N6" s="123">
        <v>146836.01855909446</v>
      </c>
      <c r="O6" s="123">
        <v>816047.59594393603</v>
      </c>
      <c r="P6" s="124">
        <f t="shared" si="0"/>
        <v>2004495.8318216391</v>
      </c>
      <c r="Q6" s="108">
        <f>SUMPRODUCT('ANEXO IX B - coeficientes'!$C$15:$H$15,J6:O6)/1000</f>
        <v>259009.48686457245</v>
      </c>
      <c r="R6" s="108">
        <f>SUMPRODUCT('ANEXO IX B - coeficientes'!$C$47:$H$47,D6:I6)</f>
        <v>100589.922834</v>
      </c>
      <c r="S6" s="108">
        <v>396.49</v>
      </c>
      <c r="T6" s="108">
        <f t="shared" si="1"/>
        <v>18405.510363888912</v>
      </c>
      <c r="U6" s="108">
        <f>SUM(Q6:T6)</f>
        <v>378401.41006246139</v>
      </c>
    </row>
    <row r="7" spans="1:21">
      <c r="P7">
        <v>1</v>
      </c>
      <c r="Q7" s="111">
        <f>SUM(Q3:Q6)</f>
        <v>2514582.9425559659</v>
      </c>
      <c r="R7" s="111">
        <f t="shared" ref="R7:T7" si="2">SUM(R3:R6)</f>
        <v>640271.60169899999</v>
      </c>
      <c r="S7" s="111">
        <f t="shared" si="2"/>
        <v>32653.950000000004</v>
      </c>
      <c r="T7" s="111">
        <f t="shared" si="2"/>
        <v>162967.74678577366</v>
      </c>
      <c r="U7" s="117">
        <f>SUM(Q7:T7)</f>
        <v>3350476.2410407402</v>
      </c>
    </row>
    <row r="9" spans="1:21">
      <c r="D9" s="153" t="s">
        <v>61</v>
      </c>
      <c r="E9" s="153"/>
      <c r="F9" s="153"/>
      <c r="G9" s="153"/>
      <c r="H9" s="153"/>
      <c r="I9" s="153"/>
      <c r="J9" s="154" t="s">
        <v>60</v>
      </c>
      <c r="K9" s="154"/>
      <c r="L9" s="154"/>
      <c r="M9" s="154"/>
      <c r="N9" s="154"/>
      <c r="O9" s="154"/>
      <c r="P9" s="154"/>
    </row>
    <row r="10" spans="1:21">
      <c r="A10" s="118" t="s">
        <v>44</v>
      </c>
      <c r="B10" s="118" t="s">
        <v>45</v>
      </c>
      <c r="C10" s="118" t="s">
        <v>53</v>
      </c>
      <c r="D10" s="119" t="s">
        <v>54</v>
      </c>
      <c r="E10" s="119" t="s">
        <v>55</v>
      </c>
      <c r="F10" s="119" t="s">
        <v>56</v>
      </c>
      <c r="G10" s="119" t="s">
        <v>57</v>
      </c>
      <c r="H10" s="119" t="s">
        <v>58</v>
      </c>
      <c r="I10" s="119" t="s">
        <v>59</v>
      </c>
      <c r="J10" s="120" t="s">
        <v>54</v>
      </c>
      <c r="K10" s="120" t="s">
        <v>55</v>
      </c>
      <c r="L10" s="120" t="s">
        <v>56</v>
      </c>
      <c r="M10" s="120" t="s">
        <v>57</v>
      </c>
      <c r="N10" s="120" t="s">
        <v>58</v>
      </c>
      <c r="O10" s="120" t="s">
        <v>59</v>
      </c>
      <c r="P10" s="120" t="s">
        <v>7</v>
      </c>
      <c r="Q10" s="109" t="s">
        <v>36</v>
      </c>
      <c r="R10" s="109" t="s">
        <v>37</v>
      </c>
      <c r="S10" s="109" t="s">
        <v>38</v>
      </c>
      <c r="T10" s="109" t="s">
        <v>39</v>
      </c>
      <c r="U10" s="110" t="s">
        <v>71</v>
      </c>
    </row>
    <row r="11" spans="1:21">
      <c r="A11" s="121" t="s">
        <v>46</v>
      </c>
      <c r="B11" s="121" t="s">
        <v>47</v>
      </c>
      <c r="C11" s="121" t="s">
        <v>32</v>
      </c>
      <c r="D11" s="122">
        <v>9279</v>
      </c>
      <c r="E11" s="122">
        <v>9279</v>
      </c>
      <c r="F11" s="122">
        <v>9279</v>
      </c>
      <c r="G11" s="122">
        <v>9279</v>
      </c>
      <c r="H11" s="122">
        <v>9279</v>
      </c>
      <c r="I11" s="122">
        <v>10323</v>
      </c>
      <c r="J11" s="123">
        <v>1606002.8662667791</v>
      </c>
      <c r="K11" s="123">
        <v>2109340.6448785351</v>
      </c>
      <c r="L11" s="123">
        <v>1519702.8514612885</v>
      </c>
      <c r="M11" s="123">
        <v>1741235.0599816523</v>
      </c>
      <c r="N11" s="123">
        <v>876838.19545338978</v>
      </c>
      <c r="O11" s="123">
        <v>7089230.4527087566</v>
      </c>
      <c r="P11" s="124">
        <f>SUM(J11:O11)</f>
        <v>14942350.0707504</v>
      </c>
      <c r="Q11" s="108">
        <f>SUMPRODUCT('ANEXO IX B - coeficientes'!C21:H21,J11:O11)/1000</f>
        <v>1877948.7201115526</v>
      </c>
      <c r="R11" s="108">
        <f>SUMPRODUCT('ANEXO IX B - coeficientes'!$C$48:$H$48,D11:I11)</f>
        <v>367407.86656500003</v>
      </c>
      <c r="S11" s="108">
        <f t="shared" ref="S11:S14" si="3">+S3</f>
        <v>30268.49</v>
      </c>
      <c r="T11" s="108">
        <f>SUM(Q11:S11)*0.051127</f>
        <v>116345.88329524212</v>
      </c>
      <c r="U11" s="108">
        <f>SUM(Q11:T11)</f>
        <v>2391970.9599717953</v>
      </c>
    </row>
    <row r="12" spans="1:21">
      <c r="A12" s="121" t="s">
        <v>48</v>
      </c>
      <c r="B12" s="121" t="s">
        <v>63</v>
      </c>
      <c r="C12" s="121" t="s">
        <v>31</v>
      </c>
      <c r="D12" s="122">
        <v>1848</v>
      </c>
      <c r="E12" s="122">
        <v>1848</v>
      </c>
      <c r="F12" s="122">
        <v>1848</v>
      </c>
      <c r="G12" s="122">
        <v>1848</v>
      </c>
      <c r="H12" s="122">
        <v>1848</v>
      </c>
      <c r="I12" s="122">
        <v>5000</v>
      </c>
      <c r="J12" s="123">
        <v>306179.62633439165</v>
      </c>
      <c r="K12" s="123">
        <v>339481.42902576667</v>
      </c>
      <c r="L12" s="123">
        <v>301052.90773529717</v>
      </c>
      <c r="M12" s="123">
        <v>428270.59939389443</v>
      </c>
      <c r="N12" s="123">
        <v>195899.681140125</v>
      </c>
      <c r="O12" s="123">
        <v>1341565.7529926749</v>
      </c>
      <c r="P12" s="124">
        <f t="shared" ref="P12:P14" si="4">SUM(J12:O12)</f>
        <v>2912449.9966221498</v>
      </c>
      <c r="Q12" s="108">
        <f>SUMPRODUCT('ANEXO IX B - coeficientes'!$C$20:$H$20,J12:O12)/1000</f>
        <v>377624.73557984066</v>
      </c>
      <c r="R12" s="108">
        <f>SUMPRODUCT('ANEXO IX B - coeficientes'!$C$47:$H$47,D12:I12)</f>
        <v>114849.20820000001</v>
      </c>
      <c r="S12" s="108">
        <f t="shared" si="3"/>
        <v>1638.49</v>
      </c>
      <c r="T12" s="108">
        <f t="shared" ref="T12:T14" si="5">SUM(Q12:S12)*0.051127</f>
        <v>25262.486401861912</v>
      </c>
      <c r="U12" s="108">
        <f>SUM(Q12:T12)</f>
        <v>519374.92018170259</v>
      </c>
    </row>
    <row r="13" spans="1:21">
      <c r="A13" s="121" t="s">
        <v>49</v>
      </c>
      <c r="B13" s="121" t="s">
        <v>50</v>
      </c>
      <c r="C13" s="121" t="s">
        <v>31</v>
      </c>
      <c r="D13" s="122">
        <v>1848</v>
      </c>
      <c r="E13" s="122">
        <v>1848</v>
      </c>
      <c r="F13" s="122">
        <v>1848</v>
      </c>
      <c r="G13" s="122">
        <v>1848</v>
      </c>
      <c r="H13" s="122">
        <v>1848</v>
      </c>
      <c r="I13" s="122">
        <v>5000</v>
      </c>
      <c r="J13" s="123">
        <v>0</v>
      </c>
      <c r="K13" s="123">
        <v>0</v>
      </c>
      <c r="L13" s="123">
        <v>0</v>
      </c>
      <c r="M13" s="123">
        <v>0</v>
      </c>
      <c r="N13" s="123">
        <v>0</v>
      </c>
      <c r="O13" s="123">
        <v>0</v>
      </c>
      <c r="P13" s="124">
        <f t="shared" si="4"/>
        <v>0</v>
      </c>
      <c r="Q13" s="108">
        <f>SUMPRODUCT('ANEXO IX B - coeficientes'!$C$20:$H$20,J13:O13)/1000</f>
        <v>0</v>
      </c>
      <c r="R13" s="108">
        <f>SUMPRODUCT('ANEXO IX B - coeficientes'!$C$47:$H$47,D13:I13)/2</f>
        <v>57424.604100000004</v>
      </c>
      <c r="S13" s="108">
        <f t="shared" si="3"/>
        <v>350.48</v>
      </c>
      <c r="T13" s="108">
        <f t="shared" si="5"/>
        <v>2953.8667247807002</v>
      </c>
      <c r="U13" s="108">
        <f>SUM(Q13:T13)</f>
        <v>60728.95082478071</v>
      </c>
    </row>
    <row r="14" spans="1:21">
      <c r="A14" s="125" t="s">
        <v>51</v>
      </c>
      <c r="B14" s="121" t="s">
        <v>52</v>
      </c>
      <c r="C14" s="121" t="s">
        <v>31</v>
      </c>
      <c r="D14" s="122">
        <v>1634</v>
      </c>
      <c r="E14" s="122">
        <v>1634</v>
      </c>
      <c r="F14" s="122">
        <v>1754</v>
      </c>
      <c r="G14" s="122">
        <v>1754</v>
      </c>
      <c r="H14" s="122">
        <v>1754</v>
      </c>
      <c r="I14" s="122">
        <v>1754</v>
      </c>
      <c r="J14" s="123">
        <v>188306.68246913335</v>
      </c>
      <c r="K14" s="123">
        <v>248753.77163142222</v>
      </c>
      <c r="L14" s="123">
        <v>258695.37915155833</v>
      </c>
      <c r="M14" s="123">
        <v>345856.38406649447</v>
      </c>
      <c r="N14" s="123">
        <v>146836.01855909446</v>
      </c>
      <c r="O14" s="123">
        <v>816047.59594393603</v>
      </c>
      <c r="P14" s="124">
        <f t="shared" si="4"/>
        <v>2004495.8318216391</v>
      </c>
      <c r="Q14" s="108">
        <f>SUMPRODUCT('ANEXO IX B - coeficientes'!$C$20:$H$20,J14:O14)/1000</f>
        <v>259009.48686457245</v>
      </c>
      <c r="R14" s="108">
        <f>SUMPRODUCT('ANEXO IX B - coeficientes'!$C$47:$H$47,D14:I14)</f>
        <v>100589.922834</v>
      </c>
      <c r="S14" s="108">
        <f t="shared" si="3"/>
        <v>396.49</v>
      </c>
      <c r="T14" s="108">
        <f t="shared" si="5"/>
        <v>18405.510363888912</v>
      </c>
      <c r="U14" s="108">
        <f>SUM(Q14:T14)</f>
        <v>378401.41006246139</v>
      </c>
    </row>
    <row r="15" spans="1:21">
      <c r="P15">
        <v>1</v>
      </c>
      <c r="Q15" s="111">
        <f>SUM(Q11:Q14)</f>
        <v>2514582.9425559659</v>
      </c>
      <c r="R15" s="111">
        <f t="shared" ref="R15:T15" si="6">SUM(R11:R14)</f>
        <v>640271.60169899999</v>
      </c>
      <c r="S15" s="111">
        <f t="shared" si="6"/>
        <v>32653.950000000004</v>
      </c>
      <c r="T15" s="111">
        <f t="shared" si="6"/>
        <v>162967.74678577366</v>
      </c>
      <c r="U15" s="117">
        <f>SUM(Q15:T15)</f>
        <v>3350476.2410407402</v>
      </c>
    </row>
    <row r="16" spans="1:21">
      <c r="D16" s="4"/>
      <c r="E16" s="4"/>
      <c r="F16" s="4"/>
      <c r="G16" s="4"/>
      <c r="H16" s="4"/>
      <c r="I16" s="4"/>
      <c r="J16" s="4"/>
      <c r="K16" s="4"/>
      <c r="L16" s="4"/>
      <c r="M16" s="4"/>
      <c r="S16" s="131"/>
      <c r="U16" s="132"/>
    </row>
    <row r="17" spans="4:12">
      <c r="D17" s="127"/>
      <c r="H17" s="127"/>
      <c r="I17" s="128"/>
      <c r="J17" s="129"/>
      <c r="L17" s="130"/>
    </row>
  </sheetData>
  <sheetProtection algorithmName="SHA-512" hashValue="1zNzeVbBLkIxi4x2tOaA70pEVMoIII6gXgpDxAAEit6wYNwji3bGsh8YVQBjWrkJf1pStsBxRsrCmGLSMft2Uw==" saltValue="i4IqtgTgM36eq9RH7vOjhA==" spinCount="100000" sheet="1" objects="1" scenarios="1"/>
  <mergeCells count="4">
    <mergeCell ref="D1:I1"/>
    <mergeCell ref="J1:P1"/>
    <mergeCell ref="D9:I9"/>
    <mergeCell ref="J9:P9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45" orientation="landscape" r:id="rId1"/>
  <ignoredErrors>
    <ignoredError sqref="P3:P6 Q3:R4 Q6 Q5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922a4b-592d-40d6-821d-abc46449e788">
      <Terms xmlns="http://schemas.microsoft.com/office/infopath/2007/PartnerControls"/>
    </lcf76f155ced4ddcb4097134ff3c332f>
    <TaxCatchAll xmlns="c520a6e5-dbcf-4e7e-9850-c4fddf558dc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12BB8BBDCBD5C49AC72A1453F243442" ma:contentTypeVersion="18" ma:contentTypeDescription="Crear nuevo documento." ma:contentTypeScope="" ma:versionID="058a2c1a485f2850092ae940d776cbcf">
  <xsd:schema xmlns:xsd="http://www.w3.org/2001/XMLSchema" xmlns:xs="http://www.w3.org/2001/XMLSchema" xmlns:p="http://schemas.microsoft.com/office/2006/metadata/properties" xmlns:ns2="57922a4b-592d-40d6-821d-abc46449e788" xmlns:ns3="c520a6e5-dbcf-4e7e-9850-c4fddf558dc2" targetNamespace="http://schemas.microsoft.com/office/2006/metadata/properties" ma:root="true" ma:fieldsID="312920a4e5dd6584c170f3724575a412" ns2:_="" ns3:_="">
    <xsd:import namespace="57922a4b-592d-40d6-821d-abc46449e788"/>
    <xsd:import namespace="c520a6e5-dbcf-4e7e-9850-c4fddf558d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922a4b-592d-40d6-821d-abc46449e7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f530523-d536-4dfc-914a-2d174f647ca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20a6e5-dbcf-4e7e-9850-c4fddf558dc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d85f79e-767e-425d-8ccb-e5f4c912df72}" ma:internalName="TaxCatchAll" ma:showField="CatchAllData" ma:web="c520a6e5-dbcf-4e7e-9850-c4fddf558d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652519-5F9F-4A5E-B0F5-C0C8BFAD20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8596C7-7CD8-40E2-885B-4CBA18C8DFB9}">
  <ds:schemaRefs>
    <ds:schemaRef ds:uri="http://schemas.microsoft.com/office/2006/metadata/properties"/>
    <ds:schemaRef ds:uri="http://schemas.microsoft.com/office/infopath/2007/PartnerControls"/>
    <ds:schemaRef ds:uri="57922a4b-592d-40d6-821d-abc46449e788"/>
    <ds:schemaRef ds:uri="c520a6e5-dbcf-4e7e-9850-c4fddf558dc2"/>
  </ds:schemaRefs>
</ds:datastoreItem>
</file>

<file path=customXml/itemProps3.xml><?xml version="1.0" encoding="utf-8"?>
<ds:datastoreItem xmlns:ds="http://schemas.openxmlformats.org/officeDocument/2006/customXml" ds:itemID="{BFB67D99-09B0-4603-93C7-E88C1D63F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922a4b-592d-40d6-821d-abc46449e788"/>
    <ds:schemaRef ds:uri="c520a6e5-dbcf-4e7e-9850-c4fddf558d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ANEXO IX B - coeficientes</vt:lpstr>
      <vt:lpstr>Anexo IX B - total ofertado</vt:lpstr>
      <vt:lpstr>Datos CONSUMOS</vt:lpstr>
      <vt:lpstr>Coste por CUPS</vt:lpstr>
      <vt:lpstr>'ANEXO IX B - coeficientes'!Área_de_impresión</vt:lpstr>
      <vt:lpstr>'Anexo IX B - total ofertado'!Área_de_impresión</vt:lpstr>
      <vt:lpstr>'Coste por CUPS'!Área_de_impresión</vt:lpstr>
      <vt:lpstr>'Datos CONSUMOS'!Área_de_impresión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A83052407</dc:creator>
  <cp:lastModifiedBy>Enrique Hernández</cp:lastModifiedBy>
  <cp:lastPrinted>2026-10-27T15:06:38Z</cp:lastPrinted>
  <dcterms:created xsi:type="dcterms:W3CDTF">2019-03-08T12:53:42Z</dcterms:created>
  <dcterms:modified xsi:type="dcterms:W3CDTF">2026-10-27T15:08:37Z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0x010100C12BB8BBDCBD5C49AC72A1453F243442</vt:lpwstr>
  </property>
</Properties>
</file>